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filterPrivacy="1" defaultThemeVersion="124226"/>
  <xr:revisionPtr revIDLastSave="8289" documentId="11_84940E8F3DF38D5F90DF2005349C5539626DB36A" xr6:coauthVersionLast="47" xr6:coauthVersionMax="47" xr10:uidLastSave="{638FDB1B-2A81-4A1E-B0AB-974FA28E6AEA}"/>
  <bookViews>
    <workbookView xWindow="28680" yWindow="-120" windowWidth="29040" windowHeight="15720" tabRatio="886" activeTab="2" xr2:uid="{00000000-000D-0000-FFFF-FFFF00000000}"/>
  </bookViews>
  <sheets>
    <sheet name="Seotud katastrid" sheetId="19" r:id="rId1"/>
    <sheet name="Kraavid" sheetId="9" r:id="rId2"/>
    <sheet name="Vallid" sheetId="8" r:id="rId3"/>
    <sheet name="Koondmahud" sheetId="7" r:id="rId4"/>
    <sheet name="Trassiraied" sheetId="17" r:id="rId5"/>
    <sheet name="Paisud" sheetId="16" r:id="rId6"/>
    <sheet name="Maaüksused" sheetId="20" r:id="rId7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0" i="17" l="1"/>
  <c r="D4" i="7" s="1"/>
  <c r="G26" i="17"/>
  <c r="B26" i="17"/>
  <c r="C16" i="8"/>
  <c r="C15" i="8"/>
  <c r="C14" i="8"/>
  <c r="B7" i="17"/>
  <c r="C32" i="17"/>
  <c r="C24" i="17"/>
  <c r="D16" i="16"/>
  <c r="D10" i="7"/>
  <c r="D25" i="7"/>
  <c r="D7" i="7"/>
  <c r="D22" i="7"/>
  <c r="D11" i="7"/>
  <c r="B51" i="17"/>
  <c r="D2" i="7" s="1"/>
  <c r="C45" i="17"/>
  <c r="B45" i="17"/>
  <c r="B40" i="17"/>
  <c r="B35" i="17"/>
  <c r="F34" i="17"/>
  <c r="G34" i="17"/>
  <c r="C28" i="17"/>
  <c r="F23" i="17"/>
  <c r="F6" i="17"/>
  <c r="B4" i="17"/>
  <c r="B17" i="8"/>
  <c r="D13" i="7" s="1"/>
  <c r="C13" i="8"/>
  <c r="D28" i="7" s="1"/>
  <c r="B13" i="8"/>
  <c r="D27" i="7" s="1"/>
  <c r="D24" i="7"/>
  <c r="D23" i="7"/>
  <c r="D27" i="16"/>
  <c r="D8" i="7"/>
  <c r="D26" i="7"/>
  <c r="B11" i="17"/>
  <c r="F5" i="17"/>
  <c r="C18" i="20"/>
  <c r="X7" i="8"/>
  <c r="H7" i="8"/>
  <c r="B7" i="8"/>
  <c r="R7" i="8"/>
  <c r="N8" i="8"/>
  <c r="B18" i="8" l="1"/>
  <c r="C17" i="8"/>
  <c r="D14" i="7" s="1"/>
  <c r="H34" i="17"/>
  <c r="D17" i="16"/>
  <c r="D18" i="7"/>
  <c r="D19" i="7" s="1"/>
  <c r="L5" i="8"/>
  <c r="F49" i="17"/>
  <c r="F48" i="17"/>
  <c r="F47" i="17"/>
  <c r="F46" i="17"/>
  <c r="F45" i="17"/>
  <c r="F44" i="17"/>
  <c r="F43" i="17"/>
  <c r="F42" i="17"/>
  <c r="F41" i="17"/>
  <c r="F40" i="17"/>
  <c r="F39" i="17"/>
  <c r="F38" i="17"/>
  <c r="F37" i="17"/>
  <c r="F36" i="17"/>
  <c r="F35" i="17"/>
  <c r="F33" i="17"/>
  <c r="F32" i="17"/>
  <c r="F31" i="17"/>
  <c r="F30" i="17"/>
  <c r="F29" i="17"/>
  <c r="F28" i="17"/>
  <c r="F27" i="17"/>
  <c r="F26" i="17"/>
  <c r="F25" i="17"/>
  <c r="F24" i="17"/>
  <c r="F22" i="17"/>
  <c r="F21" i="17"/>
  <c r="F20" i="17"/>
  <c r="F19" i="17"/>
  <c r="F18" i="17"/>
  <c r="F17" i="17"/>
  <c r="F16" i="17"/>
  <c r="F15" i="17"/>
  <c r="F14" i="17"/>
  <c r="F13" i="17"/>
  <c r="F12" i="17"/>
  <c r="F11" i="17"/>
  <c r="F10" i="17"/>
  <c r="F9" i="17"/>
  <c r="F8" i="17"/>
  <c r="F3" i="17"/>
  <c r="F4" i="17"/>
  <c r="F7" i="17"/>
  <c r="G50" i="17"/>
  <c r="D5" i="7" s="1"/>
  <c r="G30" i="17"/>
  <c r="G49" i="17"/>
  <c r="G46" i="17"/>
  <c r="H46" i="17" s="1"/>
  <c r="G45" i="17"/>
  <c r="G40" i="17"/>
  <c r="G35" i="17"/>
  <c r="H35" i="17" s="1"/>
  <c r="B22" i="17"/>
  <c r="G22" i="17" s="1"/>
  <c r="H22" i="17" s="1"/>
  <c r="G21" i="17"/>
  <c r="C16" i="17"/>
  <c r="G16" i="17" s="1"/>
  <c r="H16" i="17" s="1"/>
  <c r="C12" i="17"/>
  <c r="G12" i="17" s="1"/>
  <c r="G11" i="17"/>
  <c r="B10" i="17"/>
  <c r="G10" i="17" s="1"/>
  <c r="G4" i="17"/>
  <c r="G5" i="17"/>
  <c r="G6" i="17"/>
  <c r="H6" i="17" s="1"/>
  <c r="G7" i="17"/>
  <c r="G8" i="17"/>
  <c r="G9" i="17"/>
  <c r="G13" i="17"/>
  <c r="G14" i="17"/>
  <c r="G15" i="17"/>
  <c r="G17" i="17"/>
  <c r="G18" i="17"/>
  <c r="G19" i="17"/>
  <c r="G20" i="17"/>
  <c r="G23" i="17"/>
  <c r="G24" i="17"/>
  <c r="G25" i="17"/>
  <c r="H25" i="17" s="1"/>
  <c r="G27" i="17"/>
  <c r="G28" i="17"/>
  <c r="H28" i="17" s="1"/>
  <c r="G29" i="17"/>
  <c r="G31" i="17"/>
  <c r="G32" i="17"/>
  <c r="G33" i="17"/>
  <c r="G36" i="17"/>
  <c r="G37" i="17"/>
  <c r="G38" i="17"/>
  <c r="G39" i="17"/>
  <c r="G41" i="17"/>
  <c r="H41" i="17" s="1"/>
  <c r="G42" i="17"/>
  <c r="G43" i="17"/>
  <c r="G44" i="17"/>
  <c r="G47" i="17"/>
  <c r="H47" i="17" s="1"/>
  <c r="G48" i="17"/>
  <c r="G3" i="17"/>
  <c r="D20" i="16"/>
  <c r="D12" i="7" s="1"/>
  <c r="D18" i="16"/>
  <c r="C10" i="16"/>
  <c r="D19" i="16" s="1"/>
  <c r="C11" i="16"/>
  <c r="D21" i="16" s="1"/>
  <c r="C9" i="16"/>
  <c r="C67" i="9"/>
  <c r="C18" i="8" l="1"/>
  <c r="G51" i="17"/>
  <c r="D3" i="7" s="1"/>
  <c r="H13" i="17"/>
  <c r="H19" i="17"/>
  <c r="H33" i="17"/>
  <c r="H18" i="17"/>
  <c r="H40" i="17"/>
  <c r="H21" i="17"/>
  <c r="H43" i="17"/>
  <c r="H36" i="17"/>
  <c r="H49" i="17"/>
  <c r="H7" i="17"/>
  <c r="D22" i="16"/>
  <c r="D9" i="7" s="1"/>
  <c r="L8" i="8"/>
  <c r="H31" i="17"/>
  <c r="H23" i="17"/>
  <c r="H12" i="17"/>
  <c r="H44" i="17"/>
  <c r="H37" i="17"/>
  <c r="H14" i="17"/>
  <c r="H42" i="17"/>
  <c r="H50" i="17"/>
  <c r="H32" i="17"/>
  <c r="H26" i="17"/>
  <c r="H39" i="17"/>
  <c r="H48" i="17"/>
  <c r="H45" i="17"/>
  <c r="H38" i="17"/>
  <c r="H30" i="17"/>
  <c r="H29" i="17"/>
  <c r="H27" i="17"/>
  <c r="H24" i="17"/>
  <c r="H20" i="17"/>
  <c r="H17" i="17"/>
  <c r="H15" i="17"/>
  <c r="H11" i="17"/>
  <c r="H10" i="17"/>
  <c r="H9" i="17"/>
  <c r="H8" i="17"/>
  <c r="H4" i="17"/>
  <c r="H5" i="17"/>
  <c r="D23" i="16"/>
  <c r="H51" i="17" l="1"/>
  <c r="D6" i="7" s="1"/>
  <c r="H3" i="17" l="1"/>
  <c r="B12" i="16" l="1"/>
  <c r="C12" i="16"/>
</calcChain>
</file>

<file path=xl/sharedStrings.xml><?xml version="1.0" encoding="utf-8"?>
<sst xmlns="http://schemas.openxmlformats.org/spreadsheetml/2006/main" count="575" uniqueCount="238">
  <si>
    <t>Tunnus</t>
  </si>
  <si>
    <t>Lähiaadress</t>
  </si>
  <si>
    <t>Omandivorm</t>
  </si>
  <si>
    <t>-</t>
  </si>
  <si>
    <t>Eraomand</t>
  </si>
  <si>
    <t>Kokku</t>
  </si>
  <si>
    <t>Jrk nr</t>
  </si>
  <si>
    <t>Tähis</t>
  </si>
  <si>
    <t>Pikkus, m</t>
  </si>
  <si>
    <t>Laius pealt, m</t>
  </si>
  <si>
    <t>Sügavus, m</t>
  </si>
  <si>
    <t>Tüüp</t>
  </si>
  <si>
    <t>Märkus</t>
  </si>
  <si>
    <t>K-1</t>
  </si>
  <si>
    <t>C</t>
  </si>
  <si>
    <t>K-2</t>
  </si>
  <si>
    <t>0,3 … 0,5</t>
  </si>
  <si>
    <t>0,2 … 0,3</t>
  </si>
  <si>
    <t>K-3</t>
  </si>
  <si>
    <t>0,2 … 1,0</t>
  </si>
  <si>
    <t>0,2 … 0,5</t>
  </si>
  <si>
    <t>K-4</t>
  </si>
  <si>
    <t>K-5</t>
  </si>
  <si>
    <t>K-6</t>
  </si>
  <si>
    <t>K-7</t>
  </si>
  <si>
    <t>K-8</t>
  </si>
  <si>
    <t>K-9</t>
  </si>
  <si>
    <t>K-10</t>
  </si>
  <si>
    <t>K-11</t>
  </si>
  <si>
    <t>K-12</t>
  </si>
  <si>
    <t>K-13</t>
  </si>
  <si>
    <t>K-14</t>
  </si>
  <si>
    <t>0,3 … 0,4</t>
  </si>
  <si>
    <t>K-15</t>
  </si>
  <si>
    <t>0,1 … 0,5</t>
  </si>
  <si>
    <t>K-16</t>
  </si>
  <si>
    <t>K-17</t>
  </si>
  <si>
    <t>0,4 … 0,7</t>
  </si>
  <si>
    <t>B</t>
  </si>
  <si>
    <t>K-18</t>
  </si>
  <si>
    <t>K-19</t>
  </si>
  <si>
    <t>K-20</t>
  </si>
  <si>
    <t>0,5 … 1,0</t>
  </si>
  <si>
    <t>K-21</t>
  </si>
  <si>
    <t>1,0 … 1,5</t>
  </si>
  <si>
    <t>K-22</t>
  </si>
  <si>
    <t>K-23</t>
  </si>
  <si>
    <t>K-24</t>
  </si>
  <si>
    <t>2,0 … 3,0</t>
  </si>
  <si>
    <t>0,4 … 0,5</t>
  </si>
  <si>
    <t>K-25</t>
  </si>
  <si>
    <t>0,3 … 0,7</t>
  </si>
  <si>
    <t>K-26</t>
  </si>
  <si>
    <t>eraomandil</t>
  </si>
  <si>
    <t>K-27</t>
  </si>
  <si>
    <t>0,2 … 0,7</t>
  </si>
  <si>
    <t>K-28</t>
  </si>
  <si>
    <t>0,1 … 0,2</t>
  </si>
  <si>
    <t>K-29</t>
  </si>
  <si>
    <t>K-30</t>
  </si>
  <si>
    <t>K-31</t>
  </si>
  <si>
    <t>K-32</t>
  </si>
  <si>
    <t>K-34</t>
  </si>
  <si>
    <t>B/C</t>
  </si>
  <si>
    <t>K-35</t>
  </si>
  <si>
    <t>K-37</t>
  </si>
  <si>
    <t>K-38</t>
  </si>
  <si>
    <t>K-39</t>
  </si>
  <si>
    <t>K-40</t>
  </si>
  <si>
    <t>K-41</t>
  </si>
  <si>
    <t>K-42</t>
  </si>
  <si>
    <t>K-43</t>
  </si>
  <si>
    <t>K-44</t>
  </si>
  <si>
    <t>K-45</t>
  </si>
  <si>
    <t>K-46</t>
  </si>
  <si>
    <t>K-47</t>
  </si>
  <si>
    <t>K-48</t>
  </si>
  <si>
    <t>K-49</t>
  </si>
  <si>
    <t>K-50</t>
  </si>
  <si>
    <t>K-51</t>
  </si>
  <si>
    <t>0,5 … 2,0</t>
  </si>
  <si>
    <t>K-52</t>
  </si>
  <si>
    <t>K-53</t>
  </si>
  <si>
    <t>K-54</t>
  </si>
  <si>
    <t>1,0 … 2,0</t>
  </si>
  <si>
    <t>K-55</t>
  </si>
  <si>
    <t>K-56</t>
  </si>
  <si>
    <t>1,0 … 3,0</t>
  </si>
  <si>
    <t>K-57</t>
  </si>
  <si>
    <t>K-58</t>
  </si>
  <si>
    <t>K-59</t>
  </si>
  <si>
    <t>0,1 … 1,0</t>
  </si>
  <si>
    <t>K-60</t>
  </si>
  <si>
    <t>K-61</t>
  </si>
  <si>
    <t>0,5 … 3,0</t>
  </si>
  <si>
    <t>A/B</t>
  </si>
  <si>
    <t>koprapais</t>
  </si>
  <si>
    <t>0,5 … 1,5</t>
  </si>
  <si>
    <t>0,3 … 2,5</t>
  </si>
  <si>
    <t>0,4 … 1,0</t>
  </si>
  <si>
    <t>1,5 … 3,0</t>
  </si>
  <si>
    <t>1,5 … 2,0</t>
  </si>
  <si>
    <t>0,2 … 0,4</t>
  </si>
  <si>
    <t>Kraav</t>
  </si>
  <si>
    <t>Laius, m</t>
  </si>
  <si>
    <t>Kõrgus, m</t>
  </si>
  <si>
    <r>
      <t>Maht, tuh m</t>
    </r>
    <r>
      <rPr>
        <b/>
        <vertAlign val="superscript"/>
        <sz val="12"/>
        <color theme="1"/>
        <rFont val="Times New Roman"/>
        <family val="1"/>
        <charset val="186"/>
      </rPr>
      <t>3</t>
    </r>
  </si>
  <si>
    <t>Parem</t>
  </si>
  <si>
    <t>Vasak</t>
  </si>
  <si>
    <t>turvas</t>
  </si>
  <si>
    <t>Paisu tüüp</t>
  </si>
  <si>
    <t>Laiendi pikkus, m</t>
  </si>
  <si>
    <t>Harja pikkus, m</t>
  </si>
  <si>
    <t>Materjal</t>
  </si>
  <si>
    <r>
      <t>Turvas, m</t>
    </r>
    <r>
      <rPr>
        <b/>
        <vertAlign val="superscript"/>
        <sz val="12"/>
        <color rgb="FF000000"/>
        <rFont val="Times New Roman"/>
        <family val="1"/>
        <charset val="186"/>
      </rPr>
      <t>3</t>
    </r>
  </si>
  <si>
    <t>Tüüp 1</t>
  </si>
  <si>
    <t>Tüüp 2</t>
  </si>
  <si>
    <t>Tüüp 3</t>
  </si>
  <si>
    <t>Kogus, tk</t>
  </si>
  <si>
    <t>Ühik</t>
  </si>
  <si>
    <t>Tööde maht</t>
  </si>
  <si>
    <t>Turvas/pinnas</t>
  </si>
  <si>
    <t>tk</t>
  </si>
  <si>
    <r>
      <t>m</t>
    </r>
    <r>
      <rPr>
        <vertAlign val="superscript"/>
        <sz val="12"/>
        <color theme="1"/>
        <rFont val="Times New Roman"/>
        <family val="1"/>
        <charset val="186"/>
      </rPr>
      <t>3</t>
    </r>
  </si>
  <si>
    <t>Kraavi tähis</t>
  </si>
  <si>
    <t>Trassi pikkus, m</t>
  </si>
  <si>
    <t>Trassi laius, m</t>
  </si>
  <si>
    <t>Raie paisude asukohas, m²</t>
  </si>
  <si>
    <t>Trassiraie, ha</t>
  </si>
  <si>
    <t>Raie kokku, ha</t>
  </si>
  <si>
    <t>Töö nimetus</t>
  </si>
  <si>
    <t>Mõõtühik</t>
  </si>
  <si>
    <t>Maht kokku</t>
  </si>
  <si>
    <t>Trassiraied giljotiini või mootorsaega</t>
  </si>
  <si>
    <t>jm</t>
  </si>
  <si>
    <t>Tüüp 1 paisude rajamine</t>
  </si>
  <si>
    <t>ha</t>
  </si>
  <si>
    <t>Raied paisude asukohas</t>
  </si>
  <si>
    <t>Paisude mahamärkimine</t>
  </si>
  <si>
    <t>Kraavivallide likvideerimine</t>
  </si>
  <si>
    <r>
      <t>tuh m</t>
    </r>
    <r>
      <rPr>
        <vertAlign val="superscript"/>
        <sz val="12"/>
        <color rgb="FF000000"/>
        <rFont val="Times New Roman"/>
        <family val="1"/>
        <charset val="186"/>
      </rPr>
      <t>3</t>
    </r>
  </si>
  <si>
    <t>Tüüp 2 paisude rajamine</t>
  </si>
  <si>
    <t>Tüüp 3 paisude rajamine</t>
  </si>
  <si>
    <t>K-33</t>
  </si>
  <si>
    <t>K-36</t>
  </si>
  <si>
    <r>
      <t>Maht, m</t>
    </r>
    <r>
      <rPr>
        <b/>
        <vertAlign val="superscript"/>
        <sz val="12"/>
        <color rgb="FF000000"/>
        <rFont val="Times New Roman"/>
        <family val="1"/>
        <charset val="186"/>
      </rPr>
      <t>3</t>
    </r>
  </si>
  <si>
    <t>Setteekraanide rajamine</t>
  </si>
  <si>
    <t>Geotekstiil (II profiil)</t>
  </si>
  <si>
    <t>Põhurullid</t>
  </si>
  <si>
    <t>Trassiraied ligipääsudel giljotiini või mootorsaega</t>
  </si>
  <si>
    <t>35206:001:0021</t>
  </si>
  <si>
    <t>Tooma-Jüri</t>
  </si>
  <si>
    <t>35206:001:0045</t>
  </si>
  <si>
    <t>Vaino</t>
  </si>
  <si>
    <t>35206:001:0160</t>
  </si>
  <si>
    <t>Miku</t>
  </si>
  <si>
    <t>35206:002:0007</t>
  </si>
  <si>
    <t>Käidra</t>
  </si>
  <si>
    <t>35206:001:0002</t>
  </si>
  <si>
    <t>Juti</t>
  </si>
  <si>
    <t>35206:001:0019</t>
  </si>
  <si>
    <t>Klaukse</t>
  </si>
  <si>
    <t>35206:001:0040</t>
  </si>
  <si>
    <t>Mähuste</t>
  </si>
  <si>
    <t>35206:001:0051</t>
  </si>
  <si>
    <t>Kullamäe</t>
  </si>
  <si>
    <t>35206:001:0052</t>
  </si>
  <si>
    <t>Kullajõe</t>
  </si>
  <si>
    <t>35206:001:0055</t>
  </si>
  <si>
    <t>Mardi</t>
  </si>
  <si>
    <t>35206:001:0062</t>
  </si>
  <si>
    <t>Saare</t>
  </si>
  <si>
    <t>35206:001:0090</t>
  </si>
  <si>
    <t>Mageda</t>
  </si>
  <si>
    <t>35206:001:0120</t>
  </si>
  <si>
    <t>Sillaotsa</t>
  </si>
  <si>
    <t>35206:001:0017</t>
  </si>
  <si>
    <t>Põhja-Kõrvemaa looduskaitseala 1</t>
  </si>
  <si>
    <t>35206:001:0030</t>
  </si>
  <si>
    <t>Koitjärve metskond 30</t>
  </si>
  <si>
    <t>35206:001:0036</t>
  </si>
  <si>
    <t>Koitjärve metskond 6</t>
  </si>
  <si>
    <t>35206:001:0056</t>
  </si>
  <si>
    <t>Koitjärve metskond 34</t>
  </si>
  <si>
    <t>35206:001:0059</t>
  </si>
  <si>
    <t>Koitjärve metskond 36</t>
  </si>
  <si>
    <t>35206:001:0230</t>
  </si>
  <si>
    <t>Koitjärve metskond 29</t>
  </si>
  <si>
    <t>35301:001:0292</t>
  </si>
  <si>
    <t>Koitjärve metskond 52</t>
  </si>
  <si>
    <t>35206:002:0075</t>
  </si>
  <si>
    <t>Koitjärve metskond 10</t>
  </si>
  <si>
    <t>Riigiomand
Riigimetsa Majandamise Keskus (RMK)</t>
  </si>
  <si>
    <t>Riigiomand
Riigi Kaitseinvesteeringute Keskus (RKIK)</t>
  </si>
  <si>
    <t>0,8 … 1,1</t>
  </si>
  <si>
    <t>Pudisoo j</t>
  </si>
  <si>
    <t>1,5 … 2,5</t>
  </si>
  <si>
    <t>1,0 … 2,5</t>
  </si>
  <si>
    <t>0,5 … 2,5</t>
  </si>
  <si>
    <t>mõju eraomandile</t>
  </si>
  <si>
    <t>1,0 … 4,0</t>
  </si>
  <si>
    <t>2,0 … 2,5</t>
  </si>
  <si>
    <t>2,5 … 3,0</t>
  </si>
  <si>
    <t>0,5 … 0,7</t>
  </si>
  <si>
    <t>0,5 … 0,8</t>
  </si>
  <si>
    <t>0,8 … 1,0</t>
  </si>
  <si>
    <t>K-35a</t>
  </si>
  <si>
    <t>K-42a</t>
  </si>
  <si>
    <t>K-42b</t>
  </si>
  <si>
    <t>0,7 … 2,5</t>
  </si>
  <si>
    <t>K-42c</t>
  </si>
  <si>
    <t>2,0 … 3,5</t>
  </si>
  <si>
    <t>0,6 … 1,0</t>
  </si>
  <si>
    <t>3,0 … 3,5</t>
  </si>
  <si>
    <t>0,2 … 0,6</t>
  </si>
  <si>
    <t>2 x 2</t>
  </si>
  <si>
    <t>2 x 9</t>
  </si>
  <si>
    <t>raie paisudel</t>
  </si>
  <si>
    <t>K-39a</t>
  </si>
  <si>
    <t>raie ligipääs</t>
  </si>
  <si>
    <t>Ligipääsud</t>
  </si>
  <si>
    <t>P1</t>
  </si>
  <si>
    <t>P2</t>
  </si>
  <si>
    <t>P3</t>
  </si>
  <si>
    <t>likv</t>
  </si>
  <si>
    <t>m</t>
  </si>
  <si>
    <t>tuh m3</t>
  </si>
  <si>
    <t>m²</t>
  </si>
  <si>
    <r>
      <t>m</t>
    </r>
    <r>
      <rPr>
        <b/>
        <vertAlign val="superscript"/>
        <sz val="12"/>
        <color theme="1"/>
        <rFont val="Times New Roman"/>
        <family val="1"/>
        <charset val="186"/>
      </rPr>
      <t>3</t>
    </r>
  </si>
  <si>
    <t>Kraavide lausaline täitmine</t>
  </si>
  <si>
    <r>
      <t>Täitmise maht, m</t>
    </r>
    <r>
      <rPr>
        <b/>
        <vertAlign val="superscript"/>
        <sz val="12"/>
        <color theme="1"/>
        <rFont val="Times New Roman"/>
        <family val="1"/>
        <charset val="186"/>
      </rPr>
      <t>3</t>
    </r>
  </si>
  <si>
    <t>K-3, 4 ja 7</t>
  </si>
  <si>
    <t>turvas/</t>
  </si>
  <si>
    <t>mineraal</t>
  </si>
  <si>
    <t>Mõjutatava ala suurus, ha</t>
  </si>
  <si>
    <t>RKIK</t>
  </si>
  <si>
    <t>RMK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</si>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</sst>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vertAlign val="superscript"/>
      <sz val="12"/>
      <color theme="1"/>
      <name val="Times New Roman"/>
      <family val="1"/>
      <charset val="186"/>
    </font>
    <font>
      <sz val="8"/>
      <name val="Calibri"/>
      <family val="2"/>
      <scheme val="minor"/>
    </font>
    <font>
      <b/>
      <sz val="12"/>
      <color rgb="FF000000"/>
      <name val="Times New Roman"/>
      <family val="1"/>
      <charset val="186"/>
    </font>
    <font>
      <sz val="12"/>
      <color rgb="FF000000"/>
      <name val="Times New Roman"/>
      <family val="1"/>
      <charset val="186"/>
    </font>
    <font>
      <sz val="12"/>
      <name val="Times New Roman"/>
      <family val="1"/>
      <charset val="186"/>
    </font>
    <font>
      <b/>
      <u/>
      <sz val="12"/>
      <color theme="1"/>
      <name val="Times New Roman"/>
      <family val="1"/>
      <charset val="186"/>
    </font>
    <font>
      <sz val="12"/>
      <color theme="1"/>
      <name val="Calibri"/>
      <family val="2"/>
      <scheme val="minor"/>
    </font>
    <font>
      <vertAlign val="superscript"/>
      <sz val="12"/>
      <color rgb="FF000000"/>
      <name val="Times New Roman"/>
      <family val="1"/>
      <charset val="186"/>
    </font>
    <font>
      <b/>
      <vertAlign val="superscript"/>
      <sz val="12"/>
      <color rgb="FF000000"/>
      <name val="Times New Roman"/>
      <family val="1"/>
      <charset val="186"/>
    </font>
    <font>
      <vertAlign val="superscript"/>
      <sz val="12"/>
      <color theme="1"/>
      <name val="Times New Roman"/>
      <family val="1"/>
      <charset val="186"/>
    </font>
    <font>
      <sz val="12"/>
      <color rgb="FFFF0000"/>
      <name val="Times New Roman"/>
      <family val="1"/>
      <charset val="186"/>
    </font>
    <font>
      <sz val="11"/>
      <color theme="6"/>
      <name val="Calibri"/>
      <family val="2"/>
      <scheme val="minor"/>
    </font>
    <font>
      <sz val="11"/>
      <color theme="9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1" fontId="1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1" fontId="1" fillId="0" borderId="3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3" fontId="1" fillId="0" borderId="0" xfId="0" applyNumberFormat="1" applyFont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 wrapText="1"/>
    </xf>
    <xf numFmtId="3" fontId="1" fillId="0" borderId="3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/>
    <xf numFmtId="0" fontId="13" fillId="0" borderId="0" xfId="0" applyFont="1" applyAlignment="1">
      <alignment horizontal="center" vertical="center"/>
    </xf>
    <xf numFmtId="3" fontId="13" fillId="0" borderId="0" xfId="0" applyNumberFormat="1" applyFont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8" fillId="0" borderId="0" xfId="0" applyFont="1" applyAlignment="1">
      <alignment horizontal="right" vertical="center"/>
    </xf>
    <xf numFmtId="165" fontId="1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1" fillId="0" borderId="3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" fontId="7" fillId="0" borderId="3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1" fontId="7" fillId="0" borderId="1" xfId="0" applyNumberFormat="1" applyFont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center"/>
    </xf>
    <xf numFmtId="0" fontId="17" fillId="0" borderId="0" xfId="0" applyFont="1" applyAlignment="1">
      <alignment horizontal="center" vertical="center"/>
    </xf>
    <xf numFmtId="0" fontId="1" fillId="0" borderId="1" xfId="0" quotePrefix="1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3" fontId="2" fillId="0" borderId="3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3" fontId="1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</cellXfs>
  <cellStyles count="1">
    <cellStyle name="Normaallaa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1F6018-AC6C-4BB0-B0DF-AE02EC752C7B}">
  <dimension ref="A1:D22"/>
  <sheetViews>
    <sheetView zoomScale="85" zoomScaleNormal="85" workbookViewId="0">
      <selection activeCell="K23" sqref="K23"/>
    </sheetView>
  </sheetViews>
  <sheetFormatPr defaultRowHeight="15" x14ac:dyDescent="0.25"/>
  <cols>
    <col min="1" max="1" width="16.42578125" bestFit="1" customWidth="1"/>
    <col min="2" max="2" width="34.42578125" bestFit="1" customWidth="1"/>
    <col min="3" max="3" width="64.140625" bestFit="1" customWidth="1"/>
  </cols>
  <sheetData>
    <row r="1" spans="1:4" ht="15.75" x14ac:dyDescent="0.25">
      <c r="A1" s="5" t="s">
        <v>0</v>
      </c>
      <c r="B1" s="5" t="s">
        <v>1</v>
      </c>
      <c r="C1" s="5" t="s">
        <v>2</v>
      </c>
      <c r="D1" s="23"/>
    </row>
    <row r="2" spans="1:4" ht="15.75" x14ac:dyDescent="0.25">
      <c r="A2" s="26" t="s">
        <v>150</v>
      </c>
      <c r="B2" s="26" t="s">
        <v>151</v>
      </c>
      <c r="C2" s="55" t="s">
        <v>4</v>
      </c>
      <c r="D2" s="23"/>
    </row>
    <row r="3" spans="1:4" ht="15.75" x14ac:dyDescent="0.25">
      <c r="A3" s="26" t="s">
        <v>152</v>
      </c>
      <c r="B3" s="26" t="s">
        <v>153</v>
      </c>
      <c r="C3" s="55"/>
      <c r="D3" s="23"/>
    </row>
    <row r="4" spans="1:4" ht="15.75" x14ac:dyDescent="0.25">
      <c r="A4" s="26" t="s">
        <v>154</v>
      </c>
      <c r="B4" s="26" t="s">
        <v>155</v>
      </c>
      <c r="C4" s="55"/>
      <c r="D4" s="23"/>
    </row>
    <row r="5" spans="1:4" ht="15.75" x14ac:dyDescent="0.25">
      <c r="A5" s="26" t="s">
        <v>156</v>
      </c>
      <c r="B5" s="26" t="s">
        <v>157</v>
      </c>
      <c r="C5" s="55"/>
      <c r="D5" s="23"/>
    </row>
    <row r="6" spans="1:4" ht="15.75" x14ac:dyDescent="0.25">
      <c r="A6" s="26" t="s">
        <v>158</v>
      </c>
      <c r="B6" s="26" t="s">
        <v>159</v>
      </c>
      <c r="C6" s="55" t="s">
        <v>193</v>
      </c>
      <c r="D6" s="23"/>
    </row>
    <row r="7" spans="1:4" ht="15.75" x14ac:dyDescent="0.25">
      <c r="A7" s="26" t="s">
        <v>160</v>
      </c>
      <c r="B7" s="26" t="s">
        <v>161</v>
      </c>
      <c r="C7" s="55"/>
      <c r="D7" s="23"/>
    </row>
    <row r="8" spans="1:4" ht="15.75" x14ac:dyDescent="0.25">
      <c r="A8" s="26" t="s">
        <v>162</v>
      </c>
      <c r="B8" s="26" t="s">
        <v>163</v>
      </c>
      <c r="C8" s="55"/>
      <c r="D8" s="23"/>
    </row>
    <row r="9" spans="1:4" ht="15.75" x14ac:dyDescent="0.25">
      <c r="A9" s="26" t="s">
        <v>164</v>
      </c>
      <c r="B9" s="26" t="s">
        <v>165</v>
      </c>
      <c r="C9" s="55"/>
      <c r="D9" s="23"/>
    </row>
    <row r="10" spans="1:4" ht="15.75" x14ac:dyDescent="0.25">
      <c r="A10" s="26" t="s">
        <v>166</v>
      </c>
      <c r="B10" s="26" t="s">
        <v>167</v>
      </c>
      <c r="C10" s="55"/>
      <c r="D10" s="23"/>
    </row>
    <row r="11" spans="1:4" ht="15.75" x14ac:dyDescent="0.25">
      <c r="A11" s="26" t="s">
        <v>168</v>
      </c>
      <c r="B11" s="26" t="s">
        <v>169</v>
      </c>
      <c r="C11" s="55"/>
      <c r="D11" s="23"/>
    </row>
    <row r="12" spans="1:4" ht="15.75" x14ac:dyDescent="0.25">
      <c r="A12" s="26" t="s">
        <v>170</v>
      </c>
      <c r="B12" s="26" t="s">
        <v>171</v>
      </c>
      <c r="C12" s="55"/>
      <c r="D12" s="23"/>
    </row>
    <row r="13" spans="1:4" ht="15.75" x14ac:dyDescent="0.25">
      <c r="A13" s="26" t="s">
        <v>172</v>
      </c>
      <c r="B13" s="26" t="s">
        <v>173</v>
      </c>
      <c r="C13" s="55"/>
      <c r="D13" s="23"/>
    </row>
    <row r="14" spans="1:4" ht="15.75" x14ac:dyDescent="0.25">
      <c r="A14" s="26" t="s">
        <v>174</v>
      </c>
      <c r="B14" s="26" t="s">
        <v>175</v>
      </c>
      <c r="C14" s="55"/>
      <c r="D14" s="23"/>
    </row>
    <row r="15" spans="1:4" ht="15.75" x14ac:dyDescent="0.25">
      <c r="A15" s="26" t="s">
        <v>176</v>
      </c>
      <c r="B15" s="26" t="s">
        <v>177</v>
      </c>
      <c r="C15" s="55" t="s">
        <v>192</v>
      </c>
      <c r="D15" s="23"/>
    </row>
    <row r="16" spans="1:4" ht="15.75" x14ac:dyDescent="0.25">
      <c r="A16" s="26" t="s">
        <v>178</v>
      </c>
      <c r="B16" s="26" t="s">
        <v>179</v>
      </c>
      <c r="C16" s="55"/>
      <c r="D16" s="23"/>
    </row>
    <row r="17" spans="1:4" ht="15.75" x14ac:dyDescent="0.25">
      <c r="A17" s="26" t="s">
        <v>180</v>
      </c>
      <c r="B17" s="26" t="s">
        <v>181</v>
      </c>
      <c r="C17" s="55"/>
      <c r="D17" s="23"/>
    </row>
    <row r="18" spans="1:4" ht="15.75" x14ac:dyDescent="0.25">
      <c r="A18" s="26" t="s">
        <v>182</v>
      </c>
      <c r="B18" s="26" t="s">
        <v>183</v>
      </c>
      <c r="C18" s="55"/>
      <c r="D18" s="23"/>
    </row>
    <row r="19" spans="1:4" ht="15.75" x14ac:dyDescent="0.25">
      <c r="A19" s="26" t="s">
        <v>184</v>
      </c>
      <c r="B19" s="26" t="s">
        <v>185</v>
      </c>
      <c r="C19" s="55"/>
      <c r="D19" s="23"/>
    </row>
    <row r="20" spans="1:4" ht="15.75" x14ac:dyDescent="0.25">
      <c r="A20" s="26" t="s">
        <v>186</v>
      </c>
      <c r="B20" s="26" t="s">
        <v>187</v>
      </c>
      <c r="C20" s="55"/>
      <c r="D20" s="23"/>
    </row>
    <row r="21" spans="1:4" ht="15.75" x14ac:dyDescent="0.25">
      <c r="A21" s="26" t="s">
        <v>188</v>
      </c>
      <c r="B21" s="26" t="s">
        <v>189</v>
      </c>
      <c r="C21" s="55"/>
      <c r="D21" s="23"/>
    </row>
    <row r="22" spans="1:4" ht="15.75" x14ac:dyDescent="0.25">
      <c r="A22" s="26" t="s">
        <v>190</v>
      </c>
      <c r="B22" s="26" t="s">
        <v>191</v>
      </c>
      <c r="C22" s="55"/>
      <c r="D22" s="23"/>
    </row>
  </sheetData>
  <mergeCells count="3">
    <mergeCell ref="C2:C5"/>
    <mergeCell ref="C6:C14"/>
    <mergeCell ref="C15:C2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67"/>
  <sheetViews>
    <sheetView zoomScale="70" zoomScaleNormal="70" workbookViewId="0">
      <selection activeCell="M35" sqref="M35"/>
    </sheetView>
  </sheetViews>
  <sheetFormatPr defaultColWidth="9.140625" defaultRowHeight="15.75" x14ac:dyDescent="0.25"/>
  <cols>
    <col min="1" max="1" width="8.140625" style="3" bestFit="1" customWidth="1"/>
    <col min="2" max="2" width="8.5703125" style="3" bestFit="1" customWidth="1"/>
    <col min="3" max="3" width="12.140625" style="3" bestFit="1" customWidth="1"/>
    <col min="4" max="4" width="16.7109375" style="3" bestFit="1" customWidth="1"/>
    <col min="5" max="5" width="13.42578125" style="3" bestFit="1" customWidth="1"/>
    <col min="6" max="6" width="6.7109375" style="3" bestFit="1" customWidth="1"/>
    <col min="7" max="7" width="19.28515625" style="3" bestFit="1" customWidth="1"/>
    <col min="8" max="9" width="9.140625" style="3" customWidth="1"/>
    <col min="10" max="10" width="7.28515625" style="3" customWidth="1"/>
    <col min="11" max="14" width="9.140625" style="3" customWidth="1"/>
    <col min="15" max="16384" width="9.140625" style="3"/>
  </cols>
  <sheetData>
    <row r="1" spans="1:7" x14ac:dyDescent="0.25">
      <c r="A1" s="13" t="s">
        <v>6</v>
      </c>
      <c r="B1" s="13" t="s">
        <v>7</v>
      </c>
      <c r="C1" s="13" t="s">
        <v>8</v>
      </c>
      <c r="D1" s="13" t="s">
        <v>9</v>
      </c>
      <c r="E1" s="13" t="s">
        <v>10</v>
      </c>
      <c r="F1" s="13" t="s">
        <v>11</v>
      </c>
      <c r="G1" s="13" t="s">
        <v>12</v>
      </c>
    </row>
    <row r="2" spans="1:7" x14ac:dyDescent="0.25">
      <c r="A2" s="2">
        <v>1</v>
      </c>
      <c r="B2" s="2" t="s">
        <v>13</v>
      </c>
      <c r="C2" s="2">
        <v>1635</v>
      </c>
      <c r="D2" s="2" t="s">
        <v>48</v>
      </c>
      <c r="E2" s="2" t="s">
        <v>194</v>
      </c>
      <c r="F2" s="2" t="s">
        <v>38</v>
      </c>
      <c r="G2" s="2" t="s">
        <v>195</v>
      </c>
    </row>
    <row r="3" spans="1:7" x14ac:dyDescent="0.25">
      <c r="A3" s="2">
        <v>2</v>
      </c>
      <c r="B3" s="2" t="s">
        <v>15</v>
      </c>
      <c r="C3" s="2">
        <v>462</v>
      </c>
      <c r="D3" s="2" t="s">
        <v>196</v>
      </c>
      <c r="E3" s="2">
        <v>0.5</v>
      </c>
      <c r="F3" s="2" t="s">
        <v>14</v>
      </c>
      <c r="G3" s="8"/>
    </row>
    <row r="4" spans="1:7" x14ac:dyDescent="0.25">
      <c r="A4" s="2">
        <v>3</v>
      </c>
      <c r="B4" s="2" t="s">
        <v>18</v>
      </c>
      <c r="C4" s="2">
        <v>521</v>
      </c>
      <c r="D4" s="2" t="s">
        <v>44</v>
      </c>
      <c r="E4" s="2" t="s">
        <v>17</v>
      </c>
      <c r="F4" s="2" t="s">
        <v>38</v>
      </c>
      <c r="G4" s="8"/>
    </row>
    <row r="5" spans="1:7" x14ac:dyDescent="0.25">
      <c r="A5" s="2">
        <v>4</v>
      </c>
      <c r="B5" s="2" t="s">
        <v>21</v>
      </c>
      <c r="C5" s="2">
        <v>1585</v>
      </c>
      <c r="D5" s="2" t="s">
        <v>196</v>
      </c>
      <c r="E5" s="2" t="s">
        <v>55</v>
      </c>
      <c r="F5" s="2" t="s">
        <v>95</v>
      </c>
      <c r="G5" s="8"/>
    </row>
    <row r="6" spans="1:7" x14ac:dyDescent="0.25">
      <c r="A6" s="2">
        <v>5</v>
      </c>
      <c r="B6" s="2" t="s">
        <v>22</v>
      </c>
      <c r="C6" s="2">
        <v>140</v>
      </c>
      <c r="D6" s="2">
        <v>2.5</v>
      </c>
      <c r="E6" s="2">
        <v>0.5</v>
      </c>
      <c r="F6" s="2" t="s">
        <v>14</v>
      </c>
      <c r="G6" s="8"/>
    </row>
    <row r="7" spans="1:7" x14ac:dyDescent="0.25">
      <c r="A7" s="2">
        <v>6</v>
      </c>
      <c r="B7" s="2" t="s">
        <v>23</v>
      </c>
      <c r="C7" s="2">
        <v>1582</v>
      </c>
      <c r="D7" s="2" t="s">
        <v>101</v>
      </c>
      <c r="E7" s="2" t="s">
        <v>91</v>
      </c>
      <c r="F7" s="2" t="s">
        <v>14</v>
      </c>
      <c r="G7" s="8"/>
    </row>
    <row r="8" spans="1:7" x14ac:dyDescent="0.25">
      <c r="A8" s="2">
        <v>7</v>
      </c>
      <c r="B8" s="2" t="s">
        <v>24</v>
      </c>
      <c r="C8" s="2">
        <v>805</v>
      </c>
      <c r="D8" s="2" t="s">
        <v>197</v>
      </c>
      <c r="E8" s="2" t="s">
        <v>20</v>
      </c>
      <c r="F8" s="2" t="s">
        <v>14</v>
      </c>
      <c r="G8" s="8"/>
    </row>
    <row r="9" spans="1:7" x14ac:dyDescent="0.25">
      <c r="A9" s="2">
        <v>8</v>
      </c>
      <c r="B9" s="2" t="s">
        <v>25</v>
      </c>
      <c r="C9" s="2">
        <v>3858</v>
      </c>
      <c r="D9" s="2" t="s">
        <v>87</v>
      </c>
      <c r="E9" s="2" t="s">
        <v>19</v>
      </c>
      <c r="F9" s="2" t="s">
        <v>38</v>
      </c>
      <c r="G9" s="8"/>
    </row>
    <row r="10" spans="1:7" x14ac:dyDescent="0.25">
      <c r="A10" s="2">
        <v>9</v>
      </c>
      <c r="B10" s="2" t="s">
        <v>26</v>
      </c>
      <c r="C10" s="2">
        <v>1252</v>
      </c>
      <c r="D10" s="2" t="s">
        <v>198</v>
      </c>
      <c r="E10" s="2" t="s">
        <v>102</v>
      </c>
      <c r="F10" s="2" t="s">
        <v>38</v>
      </c>
      <c r="G10" s="56" t="s">
        <v>199</v>
      </c>
    </row>
    <row r="11" spans="1:7" x14ac:dyDescent="0.25">
      <c r="A11" s="2">
        <v>10</v>
      </c>
      <c r="B11" s="2" t="s">
        <v>27</v>
      </c>
      <c r="C11" s="2">
        <v>239</v>
      </c>
      <c r="D11" s="2" t="s">
        <v>200</v>
      </c>
      <c r="E11" s="2" t="s">
        <v>16</v>
      </c>
      <c r="F11" s="2" t="s">
        <v>38</v>
      </c>
      <c r="G11" s="56"/>
    </row>
    <row r="12" spans="1:7" x14ac:dyDescent="0.25">
      <c r="A12" s="2">
        <v>11</v>
      </c>
      <c r="B12" s="2" t="s">
        <v>28</v>
      </c>
      <c r="C12" s="2">
        <v>294</v>
      </c>
      <c r="D12" s="2">
        <v>2</v>
      </c>
      <c r="E12" s="2">
        <v>0.2</v>
      </c>
      <c r="F12" s="2" t="s">
        <v>14</v>
      </c>
      <c r="G12" s="8"/>
    </row>
    <row r="13" spans="1:7" x14ac:dyDescent="0.25">
      <c r="A13" s="2">
        <v>12</v>
      </c>
      <c r="B13" s="2" t="s">
        <v>29</v>
      </c>
      <c r="C13" s="2">
        <v>296</v>
      </c>
      <c r="D13" s="2" t="s">
        <v>201</v>
      </c>
      <c r="E13" s="2" t="s">
        <v>17</v>
      </c>
      <c r="F13" s="2" t="s">
        <v>14</v>
      </c>
      <c r="G13" s="8"/>
    </row>
    <row r="14" spans="1:7" x14ac:dyDescent="0.25">
      <c r="A14" s="2">
        <v>13</v>
      </c>
      <c r="B14" s="2" t="s">
        <v>30</v>
      </c>
      <c r="C14" s="2">
        <v>297</v>
      </c>
      <c r="D14" s="2">
        <v>2</v>
      </c>
      <c r="E14" s="2" t="s">
        <v>17</v>
      </c>
      <c r="F14" s="2" t="s">
        <v>14</v>
      </c>
      <c r="G14" s="8"/>
    </row>
    <row r="15" spans="1:7" x14ac:dyDescent="0.25">
      <c r="A15" s="2">
        <v>14</v>
      </c>
      <c r="B15" s="2" t="s">
        <v>31</v>
      </c>
      <c r="C15" s="2">
        <v>297</v>
      </c>
      <c r="D15" s="2" t="s">
        <v>201</v>
      </c>
      <c r="E15" s="2" t="s">
        <v>17</v>
      </c>
      <c r="F15" s="2" t="s">
        <v>14</v>
      </c>
      <c r="G15" s="8"/>
    </row>
    <row r="16" spans="1:7" x14ac:dyDescent="0.25">
      <c r="A16" s="2">
        <v>15</v>
      </c>
      <c r="B16" s="2" t="s">
        <v>33</v>
      </c>
      <c r="C16" s="2">
        <v>51</v>
      </c>
      <c r="D16" s="2" t="s">
        <v>202</v>
      </c>
      <c r="E16" s="2" t="s">
        <v>57</v>
      </c>
      <c r="F16" s="2" t="s">
        <v>14</v>
      </c>
      <c r="G16" s="56" t="s">
        <v>199</v>
      </c>
    </row>
    <row r="17" spans="1:7" x14ac:dyDescent="0.25">
      <c r="A17" s="2">
        <v>16</v>
      </c>
      <c r="B17" s="2" t="s">
        <v>35</v>
      </c>
      <c r="C17" s="2">
        <v>1008</v>
      </c>
      <c r="D17" s="2" t="s">
        <v>202</v>
      </c>
      <c r="E17" s="2" t="s">
        <v>97</v>
      </c>
      <c r="F17" s="2" t="s">
        <v>38</v>
      </c>
      <c r="G17" s="56"/>
    </row>
    <row r="18" spans="1:7" x14ac:dyDescent="0.25">
      <c r="A18" s="2">
        <v>17</v>
      </c>
      <c r="B18" s="2" t="s">
        <v>36</v>
      </c>
      <c r="C18" s="2">
        <v>178</v>
      </c>
      <c r="D18" s="2" t="s">
        <v>203</v>
      </c>
      <c r="E18" s="2" t="s">
        <v>49</v>
      </c>
      <c r="F18" s="2" t="s">
        <v>14</v>
      </c>
      <c r="G18" s="8"/>
    </row>
    <row r="19" spans="1:7" x14ac:dyDescent="0.25">
      <c r="A19" s="2">
        <v>18</v>
      </c>
      <c r="B19" s="2" t="s">
        <v>39</v>
      </c>
      <c r="C19" s="2">
        <v>168</v>
      </c>
      <c r="D19" s="2">
        <v>1</v>
      </c>
      <c r="E19" s="2" t="s">
        <v>20</v>
      </c>
      <c r="F19" s="2" t="s">
        <v>14</v>
      </c>
      <c r="G19" s="8"/>
    </row>
    <row r="20" spans="1:7" x14ac:dyDescent="0.25">
      <c r="A20" s="2">
        <v>19</v>
      </c>
      <c r="B20" s="2" t="s">
        <v>40</v>
      </c>
      <c r="C20" s="2">
        <v>76</v>
      </c>
      <c r="D20" s="2">
        <v>0.7</v>
      </c>
      <c r="E20" s="2">
        <v>0.5</v>
      </c>
      <c r="F20" s="2" t="s">
        <v>14</v>
      </c>
      <c r="G20" s="8"/>
    </row>
    <row r="21" spans="1:7" x14ac:dyDescent="0.25">
      <c r="A21" s="2">
        <v>20</v>
      </c>
      <c r="B21" s="2" t="s">
        <v>41</v>
      </c>
      <c r="C21" s="2">
        <v>172</v>
      </c>
      <c r="D21" s="2" t="s">
        <v>42</v>
      </c>
      <c r="E21" s="2">
        <v>0.3</v>
      </c>
      <c r="F21" s="2" t="s">
        <v>14</v>
      </c>
      <c r="G21" s="8"/>
    </row>
    <row r="22" spans="1:7" x14ac:dyDescent="0.25">
      <c r="A22" s="2">
        <v>21</v>
      </c>
      <c r="B22" s="2" t="s">
        <v>43</v>
      </c>
      <c r="C22" s="2">
        <v>175</v>
      </c>
      <c r="D22" s="2">
        <v>1</v>
      </c>
      <c r="E22" s="2" t="s">
        <v>16</v>
      </c>
      <c r="F22" s="2" t="s">
        <v>14</v>
      </c>
      <c r="G22" s="8"/>
    </row>
    <row r="23" spans="1:7" x14ac:dyDescent="0.25">
      <c r="A23" s="2">
        <v>22</v>
      </c>
      <c r="B23" s="2" t="s">
        <v>45</v>
      </c>
      <c r="C23" s="2">
        <v>175</v>
      </c>
      <c r="D23" s="2">
        <v>0.5</v>
      </c>
      <c r="E23" s="2" t="s">
        <v>16</v>
      </c>
      <c r="F23" s="2" t="s">
        <v>14</v>
      </c>
      <c r="G23" s="8"/>
    </row>
    <row r="24" spans="1:7" x14ac:dyDescent="0.25">
      <c r="A24" s="2">
        <v>23</v>
      </c>
      <c r="B24" s="2" t="s">
        <v>46</v>
      </c>
      <c r="C24" s="2">
        <v>841</v>
      </c>
      <c r="D24" s="2" t="s">
        <v>101</v>
      </c>
      <c r="E24" s="2" t="s">
        <v>99</v>
      </c>
      <c r="F24" s="2" t="s">
        <v>38</v>
      </c>
      <c r="G24" s="2" t="s">
        <v>96</v>
      </c>
    </row>
    <row r="25" spans="1:7" x14ac:dyDescent="0.25">
      <c r="A25" s="2">
        <v>24</v>
      </c>
      <c r="B25" s="2" t="s">
        <v>47</v>
      </c>
      <c r="C25" s="2">
        <v>62</v>
      </c>
      <c r="D25" s="2">
        <v>0.7</v>
      </c>
      <c r="E25" s="2" t="s">
        <v>20</v>
      </c>
      <c r="F25" s="2" t="s">
        <v>14</v>
      </c>
      <c r="G25" s="8"/>
    </row>
    <row r="26" spans="1:7" x14ac:dyDescent="0.25">
      <c r="A26" s="2">
        <v>25</v>
      </c>
      <c r="B26" s="2" t="s">
        <v>50</v>
      </c>
      <c r="C26" s="2">
        <v>58</v>
      </c>
      <c r="D26" s="2">
        <v>0.5</v>
      </c>
      <c r="E26" s="2">
        <v>0.2</v>
      </c>
      <c r="F26" s="2" t="s">
        <v>14</v>
      </c>
      <c r="G26" s="8"/>
    </row>
    <row r="27" spans="1:7" x14ac:dyDescent="0.25">
      <c r="A27" s="2">
        <v>26</v>
      </c>
      <c r="B27" s="2" t="s">
        <v>52</v>
      </c>
      <c r="C27" s="2">
        <v>94</v>
      </c>
      <c r="D27" s="2">
        <v>1.5</v>
      </c>
      <c r="E27" s="2">
        <v>0.4</v>
      </c>
      <c r="F27" s="2" t="s">
        <v>14</v>
      </c>
      <c r="G27" s="8"/>
    </row>
    <row r="28" spans="1:7" x14ac:dyDescent="0.25">
      <c r="A28" s="2">
        <v>27</v>
      </c>
      <c r="B28" s="2" t="s">
        <v>54</v>
      </c>
      <c r="C28" s="2">
        <v>89</v>
      </c>
      <c r="D28" s="2">
        <v>1.4</v>
      </c>
      <c r="E28" s="2">
        <v>0.4</v>
      </c>
      <c r="F28" s="2" t="s">
        <v>14</v>
      </c>
      <c r="G28" s="8"/>
    </row>
    <row r="29" spans="1:7" x14ac:dyDescent="0.25">
      <c r="A29" s="2">
        <v>28</v>
      </c>
      <c r="B29" s="2" t="s">
        <v>56</v>
      </c>
      <c r="C29" s="2">
        <v>22</v>
      </c>
      <c r="D29" s="2" t="s">
        <v>201</v>
      </c>
      <c r="E29" s="2" t="s">
        <v>16</v>
      </c>
      <c r="F29" s="2" t="s">
        <v>14</v>
      </c>
      <c r="G29" s="8"/>
    </row>
    <row r="30" spans="1:7" x14ac:dyDescent="0.25">
      <c r="A30" s="2">
        <v>29</v>
      </c>
      <c r="B30" s="2" t="s">
        <v>58</v>
      </c>
      <c r="C30" s="2">
        <v>22</v>
      </c>
      <c r="D30" s="2" t="s">
        <v>202</v>
      </c>
      <c r="E30" s="2" t="s">
        <v>16</v>
      </c>
      <c r="F30" s="2" t="s">
        <v>14</v>
      </c>
      <c r="G30" s="8"/>
    </row>
    <row r="31" spans="1:7" x14ac:dyDescent="0.25">
      <c r="A31" s="2">
        <v>30</v>
      </c>
      <c r="B31" s="2" t="s">
        <v>59</v>
      </c>
      <c r="C31" s="2">
        <v>27</v>
      </c>
      <c r="D31" s="2" t="s">
        <v>201</v>
      </c>
      <c r="E31" s="2" t="s">
        <v>204</v>
      </c>
      <c r="F31" s="2" t="s">
        <v>14</v>
      </c>
      <c r="G31" s="8"/>
    </row>
    <row r="32" spans="1:7" x14ac:dyDescent="0.25">
      <c r="A32" s="2">
        <v>31</v>
      </c>
      <c r="B32" s="2" t="s">
        <v>60</v>
      </c>
      <c r="C32" s="2">
        <v>568</v>
      </c>
      <c r="D32" s="2" t="s">
        <v>100</v>
      </c>
      <c r="E32" s="2" t="s">
        <v>205</v>
      </c>
      <c r="F32" s="2" t="s">
        <v>38</v>
      </c>
      <c r="G32" s="8"/>
    </row>
    <row r="33" spans="1:7" x14ac:dyDescent="0.25">
      <c r="A33" s="2">
        <v>32</v>
      </c>
      <c r="B33" s="2" t="s">
        <v>61</v>
      </c>
      <c r="C33" s="2">
        <v>524</v>
      </c>
      <c r="D33" s="2" t="s">
        <v>97</v>
      </c>
      <c r="E33" s="2">
        <v>0.2</v>
      </c>
      <c r="F33" s="2" t="s">
        <v>14</v>
      </c>
      <c r="G33" s="8"/>
    </row>
    <row r="34" spans="1:7" x14ac:dyDescent="0.25">
      <c r="A34" s="2">
        <v>33</v>
      </c>
      <c r="B34" s="2" t="s">
        <v>143</v>
      </c>
      <c r="C34" s="2">
        <v>237</v>
      </c>
      <c r="D34" s="2" t="s">
        <v>201</v>
      </c>
      <c r="E34" s="2">
        <v>0.4</v>
      </c>
      <c r="F34" s="2" t="s">
        <v>14</v>
      </c>
      <c r="G34" s="8"/>
    </row>
    <row r="35" spans="1:7" x14ac:dyDescent="0.25">
      <c r="A35" s="2">
        <v>34</v>
      </c>
      <c r="B35" s="2" t="s">
        <v>62</v>
      </c>
      <c r="C35" s="2">
        <v>482</v>
      </c>
      <c r="D35" s="2" t="s">
        <v>102</v>
      </c>
      <c r="E35" s="2">
        <v>0.1</v>
      </c>
      <c r="F35" s="2" t="s">
        <v>14</v>
      </c>
      <c r="G35" s="8"/>
    </row>
    <row r="36" spans="1:7" x14ac:dyDescent="0.25">
      <c r="A36" s="2">
        <v>35</v>
      </c>
      <c r="B36" s="2" t="s">
        <v>64</v>
      </c>
      <c r="C36" s="2">
        <v>266</v>
      </c>
      <c r="D36" s="2" t="s">
        <v>101</v>
      </c>
      <c r="E36" s="2" t="s">
        <v>32</v>
      </c>
      <c r="F36" s="2" t="s">
        <v>14</v>
      </c>
      <c r="G36" s="2" t="s">
        <v>53</v>
      </c>
    </row>
    <row r="37" spans="1:7" x14ac:dyDescent="0.25">
      <c r="A37" s="2">
        <v>36</v>
      </c>
      <c r="B37" s="2" t="s">
        <v>206</v>
      </c>
      <c r="C37" s="2">
        <v>35</v>
      </c>
      <c r="D37" s="2">
        <v>1</v>
      </c>
      <c r="E37" s="2" t="s">
        <v>57</v>
      </c>
      <c r="F37" s="2" t="s">
        <v>14</v>
      </c>
      <c r="G37" s="8"/>
    </row>
    <row r="38" spans="1:7" x14ac:dyDescent="0.25">
      <c r="A38" s="2">
        <v>37</v>
      </c>
      <c r="B38" s="2" t="s">
        <v>144</v>
      </c>
      <c r="C38" s="2">
        <v>2025</v>
      </c>
      <c r="D38" s="2" t="s">
        <v>197</v>
      </c>
      <c r="E38" s="2" t="s">
        <v>51</v>
      </c>
      <c r="F38" s="2" t="s">
        <v>38</v>
      </c>
      <c r="G38" s="8"/>
    </row>
    <row r="39" spans="1:7" x14ac:dyDescent="0.25">
      <c r="A39" s="2">
        <v>38</v>
      </c>
      <c r="B39" s="2" t="s">
        <v>65</v>
      </c>
      <c r="C39" s="2">
        <v>524</v>
      </c>
      <c r="D39" s="2" t="s">
        <v>44</v>
      </c>
      <c r="E39" s="2">
        <v>0.4</v>
      </c>
      <c r="F39" s="2" t="s">
        <v>14</v>
      </c>
      <c r="G39" s="8"/>
    </row>
    <row r="40" spans="1:7" x14ac:dyDescent="0.25">
      <c r="A40" s="2">
        <v>39</v>
      </c>
      <c r="B40" s="2" t="s">
        <v>66</v>
      </c>
      <c r="C40" s="2">
        <v>520</v>
      </c>
      <c r="D40" s="2" t="s">
        <v>84</v>
      </c>
      <c r="E40" s="2" t="s">
        <v>37</v>
      </c>
      <c r="F40" s="2" t="s">
        <v>38</v>
      </c>
      <c r="G40" s="8"/>
    </row>
    <row r="41" spans="1:7" x14ac:dyDescent="0.25">
      <c r="A41" s="2">
        <v>40</v>
      </c>
      <c r="B41" s="2" t="s">
        <v>67</v>
      </c>
      <c r="C41" s="2">
        <v>2243</v>
      </c>
      <c r="D41" s="2" t="s">
        <v>101</v>
      </c>
      <c r="E41" s="2" t="s">
        <v>16</v>
      </c>
      <c r="F41" s="2" t="s">
        <v>14</v>
      </c>
      <c r="G41" s="8"/>
    </row>
    <row r="42" spans="1:7" x14ac:dyDescent="0.25">
      <c r="A42" s="2">
        <v>41</v>
      </c>
      <c r="B42" s="2" t="s">
        <v>68</v>
      </c>
      <c r="C42" s="2">
        <v>295</v>
      </c>
      <c r="D42" s="2" t="s">
        <v>197</v>
      </c>
      <c r="E42" s="2" t="s">
        <v>49</v>
      </c>
      <c r="F42" s="2" t="s">
        <v>14</v>
      </c>
      <c r="G42" s="8"/>
    </row>
    <row r="43" spans="1:7" x14ac:dyDescent="0.25">
      <c r="A43" s="2">
        <v>42</v>
      </c>
      <c r="B43" s="2" t="s">
        <v>69</v>
      </c>
      <c r="C43" s="2">
        <v>950</v>
      </c>
      <c r="D43" s="2" t="s">
        <v>200</v>
      </c>
      <c r="E43" s="2" t="s">
        <v>34</v>
      </c>
      <c r="F43" s="2" t="s">
        <v>14</v>
      </c>
      <c r="G43" s="2" t="s">
        <v>53</v>
      </c>
    </row>
    <row r="44" spans="1:7" x14ac:dyDescent="0.25">
      <c r="A44" s="2">
        <v>43</v>
      </c>
      <c r="B44" s="2" t="s">
        <v>70</v>
      </c>
      <c r="C44" s="2">
        <v>1185</v>
      </c>
      <c r="D44" s="2" t="s">
        <v>42</v>
      </c>
      <c r="E44" s="2" t="s">
        <v>17</v>
      </c>
      <c r="F44" s="2" t="s">
        <v>14</v>
      </c>
      <c r="G44" s="8"/>
    </row>
    <row r="45" spans="1:7" x14ac:dyDescent="0.25">
      <c r="A45" s="2">
        <v>44</v>
      </c>
      <c r="B45" s="2" t="s">
        <v>207</v>
      </c>
      <c r="C45" s="2">
        <v>1219</v>
      </c>
      <c r="D45" s="2" t="s">
        <v>80</v>
      </c>
      <c r="E45" s="2" t="s">
        <v>32</v>
      </c>
      <c r="F45" s="2" t="s">
        <v>63</v>
      </c>
      <c r="G45" s="8"/>
    </row>
    <row r="46" spans="1:7" x14ac:dyDescent="0.25">
      <c r="A46" s="2">
        <v>45</v>
      </c>
      <c r="B46" s="2" t="s">
        <v>208</v>
      </c>
      <c r="C46" s="2">
        <v>1026</v>
      </c>
      <c r="D46" s="2" t="s">
        <v>209</v>
      </c>
      <c r="E46" s="2" t="s">
        <v>91</v>
      </c>
      <c r="F46" s="2" t="s">
        <v>14</v>
      </c>
      <c r="G46" s="8"/>
    </row>
    <row r="47" spans="1:7" x14ac:dyDescent="0.25">
      <c r="A47" s="2">
        <v>46</v>
      </c>
      <c r="B47" s="2" t="s">
        <v>210</v>
      </c>
      <c r="C47" s="2">
        <v>716</v>
      </c>
      <c r="D47" s="2" t="s">
        <v>196</v>
      </c>
      <c r="E47" s="2" t="s">
        <v>34</v>
      </c>
      <c r="F47" s="2" t="s">
        <v>14</v>
      </c>
      <c r="G47" s="8"/>
    </row>
    <row r="48" spans="1:7" x14ac:dyDescent="0.25">
      <c r="A48" s="2">
        <v>47</v>
      </c>
      <c r="B48" s="2" t="s">
        <v>71</v>
      </c>
      <c r="C48" s="2">
        <v>552</v>
      </c>
      <c r="D48" s="2" t="s">
        <v>84</v>
      </c>
      <c r="E48" s="2">
        <v>0.5</v>
      </c>
      <c r="F48" s="2" t="s">
        <v>14</v>
      </c>
      <c r="G48" s="8"/>
    </row>
    <row r="49" spans="1:7" x14ac:dyDescent="0.25">
      <c r="A49" s="2">
        <v>48</v>
      </c>
      <c r="B49" s="2" t="s">
        <v>72</v>
      </c>
      <c r="C49" s="2">
        <v>351</v>
      </c>
      <c r="D49" s="2" t="s">
        <v>84</v>
      </c>
      <c r="E49" s="2" t="s">
        <v>16</v>
      </c>
      <c r="F49" s="2" t="s">
        <v>14</v>
      </c>
      <c r="G49" s="8"/>
    </row>
    <row r="50" spans="1:7" x14ac:dyDescent="0.25">
      <c r="A50" s="2">
        <v>49</v>
      </c>
      <c r="B50" s="2" t="s">
        <v>73</v>
      </c>
      <c r="C50" s="2">
        <v>1141</v>
      </c>
      <c r="D50" s="2">
        <v>0.5</v>
      </c>
      <c r="E50" s="2" t="s">
        <v>57</v>
      </c>
      <c r="F50" s="2" t="s">
        <v>14</v>
      </c>
      <c r="G50" s="8"/>
    </row>
    <row r="51" spans="1:7" x14ac:dyDescent="0.25">
      <c r="A51" s="2">
        <v>50</v>
      </c>
      <c r="B51" s="2" t="s">
        <v>74</v>
      </c>
      <c r="C51" s="2">
        <v>127</v>
      </c>
      <c r="D51" s="2" t="s">
        <v>203</v>
      </c>
      <c r="E51" s="2">
        <v>0.2</v>
      </c>
      <c r="F51" s="2" t="s">
        <v>14</v>
      </c>
      <c r="G51" s="8"/>
    </row>
    <row r="52" spans="1:7" x14ac:dyDescent="0.25">
      <c r="A52" s="2">
        <v>51</v>
      </c>
      <c r="B52" s="2" t="s">
        <v>75</v>
      </c>
      <c r="C52" s="2">
        <v>990</v>
      </c>
      <c r="D52" s="2" t="s">
        <v>98</v>
      </c>
      <c r="E52" s="2" t="s">
        <v>91</v>
      </c>
      <c r="F52" s="2" t="s">
        <v>63</v>
      </c>
      <c r="G52" s="8"/>
    </row>
    <row r="53" spans="1:7" x14ac:dyDescent="0.25">
      <c r="A53" s="2">
        <v>52</v>
      </c>
      <c r="B53" s="2" t="s">
        <v>76</v>
      </c>
      <c r="C53" s="2">
        <v>302</v>
      </c>
      <c r="D53" s="2" t="s">
        <v>211</v>
      </c>
      <c r="E53" s="2" t="s">
        <v>212</v>
      </c>
      <c r="F53" s="2" t="s">
        <v>38</v>
      </c>
      <c r="G53" s="8"/>
    </row>
    <row r="54" spans="1:7" x14ac:dyDescent="0.25">
      <c r="A54" s="2">
        <v>53</v>
      </c>
      <c r="B54" s="2" t="s">
        <v>77</v>
      </c>
      <c r="C54" s="2">
        <v>291</v>
      </c>
      <c r="D54" s="2" t="s">
        <v>213</v>
      </c>
      <c r="E54" s="2" t="s">
        <v>212</v>
      </c>
      <c r="F54" s="2" t="s">
        <v>38</v>
      </c>
      <c r="G54" s="8"/>
    </row>
    <row r="55" spans="1:7" x14ac:dyDescent="0.25">
      <c r="A55" s="2">
        <v>54</v>
      </c>
      <c r="B55" s="2" t="s">
        <v>78</v>
      </c>
      <c r="C55" s="2">
        <v>408</v>
      </c>
      <c r="D55" s="2" t="s">
        <v>84</v>
      </c>
      <c r="E55" s="2">
        <v>0.2</v>
      </c>
      <c r="F55" s="2" t="s">
        <v>63</v>
      </c>
      <c r="G55" s="8"/>
    </row>
    <row r="56" spans="1:7" x14ac:dyDescent="0.25">
      <c r="A56" s="2">
        <v>55</v>
      </c>
      <c r="B56" s="2" t="s">
        <v>79</v>
      </c>
      <c r="C56" s="2">
        <v>59</v>
      </c>
      <c r="D56" s="2" t="s">
        <v>84</v>
      </c>
      <c r="E56" s="2">
        <v>0.2</v>
      </c>
      <c r="F56" s="2" t="s">
        <v>14</v>
      </c>
      <c r="G56" s="8"/>
    </row>
    <row r="57" spans="1:7" x14ac:dyDescent="0.25">
      <c r="A57" s="2">
        <v>56</v>
      </c>
      <c r="B57" s="2" t="s">
        <v>81</v>
      </c>
      <c r="C57" s="2">
        <v>221</v>
      </c>
      <c r="D57" s="2" t="s">
        <v>84</v>
      </c>
      <c r="E57" s="2">
        <v>0.2</v>
      </c>
      <c r="F57" s="2" t="s">
        <v>14</v>
      </c>
      <c r="G57" s="8"/>
    </row>
    <row r="58" spans="1:7" x14ac:dyDescent="0.25">
      <c r="A58" s="2">
        <v>57</v>
      </c>
      <c r="B58" s="2" t="s">
        <v>82</v>
      </c>
      <c r="C58" s="2">
        <v>97</v>
      </c>
      <c r="D58" s="2">
        <v>1</v>
      </c>
      <c r="E58" s="2">
        <v>0.2</v>
      </c>
      <c r="F58" s="2" t="s">
        <v>14</v>
      </c>
      <c r="G58" s="8"/>
    </row>
    <row r="59" spans="1:7" x14ac:dyDescent="0.25">
      <c r="A59" s="2">
        <v>58</v>
      </c>
      <c r="B59" s="2" t="s">
        <v>83</v>
      </c>
      <c r="C59" s="2">
        <v>170</v>
      </c>
      <c r="D59" s="2">
        <v>0.5</v>
      </c>
      <c r="E59" s="2">
        <v>0.1</v>
      </c>
      <c r="F59" s="2" t="s">
        <v>14</v>
      </c>
      <c r="G59" s="8"/>
    </row>
    <row r="60" spans="1:7" x14ac:dyDescent="0.25">
      <c r="A60" s="2">
        <v>59</v>
      </c>
      <c r="B60" s="2" t="s">
        <v>85</v>
      </c>
      <c r="C60" s="2">
        <v>1562</v>
      </c>
      <c r="D60" s="2" t="s">
        <v>80</v>
      </c>
      <c r="E60" s="2" t="s">
        <v>20</v>
      </c>
      <c r="F60" s="2" t="s">
        <v>14</v>
      </c>
      <c r="G60" s="8"/>
    </row>
    <row r="61" spans="1:7" x14ac:dyDescent="0.25">
      <c r="A61" s="2">
        <v>60</v>
      </c>
      <c r="B61" s="2" t="s">
        <v>86</v>
      </c>
      <c r="C61" s="2">
        <v>350</v>
      </c>
      <c r="D61" s="2" t="s">
        <v>42</v>
      </c>
      <c r="E61" s="2" t="s">
        <v>57</v>
      </c>
      <c r="F61" s="2" t="s">
        <v>14</v>
      </c>
      <c r="G61" s="8"/>
    </row>
    <row r="62" spans="1:7" x14ac:dyDescent="0.25">
      <c r="A62" s="2">
        <v>61</v>
      </c>
      <c r="B62" s="2" t="s">
        <v>88</v>
      </c>
      <c r="C62" s="2">
        <v>2140</v>
      </c>
      <c r="D62" s="2" t="s">
        <v>84</v>
      </c>
      <c r="E62" s="2" t="s">
        <v>214</v>
      </c>
      <c r="F62" s="2" t="s">
        <v>63</v>
      </c>
      <c r="G62" s="8"/>
    </row>
    <row r="63" spans="1:7" x14ac:dyDescent="0.25">
      <c r="A63" s="2">
        <v>62</v>
      </c>
      <c r="B63" s="2" t="s">
        <v>89</v>
      </c>
      <c r="C63" s="2">
        <v>1546</v>
      </c>
      <c r="D63" s="2" t="s">
        <v>84</v>
      </c>
      <c r="E63" s="2" t="s">
        <v>51</v>
      </c>
      <c r="F63" s="2" t="s">
        <v>14</v>
      </c>
      <c r="G63" s="8"/>
    </row>
    <row r="64" spans="1:7" x14ac:dyDescent="0.25">
      <c r="A64" s="2">
        <v>63</v>
      </c>
      <c r="B64" s="2" t="s">
        <v>90</v>
      </c>
      <c r="C64" s="2">
        <v>39</v>
      </c>
      <c r="D64" s="2">
        <v>1</v>
      </c>
      <c r="E64" s="2">
        <v>0.2</v>
      </c>
      <c r="F64" s="2" t="s">
        <v>14</v>
      </c>
      <c r="G64" s="8"/>
    </row>
    <row r="65" spans="1:7" x14ac:dyDescent="0.25">
      <c r="A65" s="2">
        <v>64</v>
      </c>
      <c r="B65" s="2" t="s">
        <v>92</v>
      </c>
      <c r="C65" s="2">
        <v>904</v>
      </c>
      <c r="D65" s="2" t="s">
        <v>94</v>
      </c>
      <c r="E65" s="2" t="s">
        <v>34</v>
      </c>
      <c r="F65" s="2" t="s">
        <v>14</v>
      </c>
      <c r="G65" s="8"/>
    </row>
    <row r="66" spans="1:7" x14ac:dyDescent="0.25">
      <c r="A66" s="2">
        <v>65</v>
      </c>
      <c r="B66" s="2" t="s">
        <v>93</v>
      </c>
      <c r="C66" s="2">
        <v>1108</v>
      </c>
      <c r="D66" s="2" t="s">
        <v>84</v>
      </c>
      <c r="E66" s="2" t="s">
        <v>16</v>
      </c>
      <c r="F66" s="2" t="s">
        <v>14</v>
      </c>
      <c r="G66" s="8"/>
    </row>
    <row r="67" spans="1:7" x14ac:dyDescent="0.25">
      <c r="A67" s="57" t="s">
        <v>5</v>
      </c>
      <c r="B67" s="57"/>
      <c r="C67" s="4">
        <f>SUM(C2:C66)</f>
        <v>41654</v>
      </c>
    </row>
  </sheetData>
  <mergeCells count="3">
    <mergeCell ref="G10:G11"/>
    <mergeCell ref="G16:G17"/>
    <mergeCell ref="A67:B67"/>
  </mergeCells>
  <phoneticPr fontId="4" type="noConversion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18"/>
  <sheetViews>
    <sheetView tabSelected="1" zoomScale="115" zoomScaleNormal="115" workbookViewId="0">
      <selection activeCell="J21" sqref="J21"/>
    </sheetView>
  </sheetViews>
  <sheetFormatPr defaultColWidth="9.140625" defaultRowHeight="15.75" x14ac:dyDescent="0.25"/>
  <cols>
    <col min="1" max="1" width="12.7109375" style="3" bestFit="1" customWidth="1"/>
    <col min="2" max="2" width="10.85546875" style="3" bestFit="1" customWidth="1"/>
    <col min="3" max="3" width="18.5703125" style="3" bestFit="1" customWidth="1"/>
    <col min="4" max="9" width="7.140625" style="3" bestFit="1" customWidth="1"/>
    <col min="10" max="10" width="8.7109375" style="3" bestFit="1" customWidth="1"/>
    <col min="11" max="12" width="5.5703125" style="3" bestFit="1" customWidth="1"/>
    <col min="13" max="13" width="2.5703125" style="3" bestFit="1" customWidth="1"/>
    <col min="14" max="14" width="5.5703125" style="3" bestFit="1" customWidth="1"/>
    <col min="15" max="15" width="6.85546875" style="3" bestFit="1" customWidth="1"/>
    <col min="16" max="16" width="9.140625" style="3" customWidth="1"/>
    <col min="17" max="17" width="10.85546875" style="3" bestFit="1" customWidth="1"/>
    <col min="18" max="16384" width="9.140625" style="3"/>
  </cols>
  <sheetData>
    <row r="1" spans="1:26" ht="18.75" customHeight="1" x14ac:dyDescent="0.25">
      <c r="A1" s="61" t="s">
        <v>103</v>
      </c>
      <c r="B1" s="57" t="s">
        <v>8</v>
      </c>
      <c r="C1" s="57"/>
      <c r="D1" s="57" t="s">
        <v>104</v>
      </c>
      <c r="E1" s="57"/>
      <c r="F1" s="57" t="s">
        <v>105</v>
      </c>
      <c r="G1" s="57"/>
      <c r="H1" s="61" t="s">
        <v>106</v>
      </c>
      <c r="I1" s="61"/>
      <c r="J1" s="57" t="s">
        <v>12</v>
      </c>
      <c r="Q1" s="61" t="s">
        <v>103</v>
      </c>
      <c r="R1" s="57" t="s">
        <v>8</v>
      </c>
      <c r="S1" s="57"/>
      <c r="T1" s="57" t="s">
        <v>104</v>
      </c>
      <c r="U1" s="57"/>
      <c r="V1" s="57" t="s">
        <v>105</v>
      </c>
      <c r="W1" s="57"/>
      <c r="X1" s="61" t="s">
        <v>106</v>
      </c>
      <c r="Y1" s="61"/>
      <c r="Z1" s="57" t="s">
        <v>12</v>
      </c>
    </row>
    <row r="2" spans="1:26" x14ac:dyDescent="0.25">
      <c r="A2" s="64"/>
      <c r="B2" s="38" t="s">
        <v>107</v>
      </c>
      <c r="C2" s="38" t="s">
        <v>108</v>
      </c>
      <c r="D2" s="38" t="s">
        <v>107</v>
      </c>
      <c r="E2" s="38" t="s">
        <v>108</v>
      </c>
      <c r="F2" s="38" t="s">
        <v>107</v>
      </c>
      <c r="G2" s="38" t="s">
        <v>108</v>
      </c>
      <c r="H2" s="38" t="s">
        <v>107</v>
      </c>
      <c r="I2" s="38" t="s">
        <v>108</v>
      </c>
      <c r="J2" s="63"/>
      <c r="L2" s="3" t="s">
        <v>224</v>
      </c>
      <c r="N2" s="6"/>
      <c r="Q2" s="61"/>
      <c r="R2" s="4" t="s">
        <v>107</v>
      </c>
      <c r="S2" s="4" t="s">
        <v>108</v>
      </c>
      <c r="T2" s="4" t="s">
        <v>107</v>
      </c>
      <c r="U2" s="4" t="s">
        <v>108</v>
      </c>
      <c r="V2" s="4" t="s">
        <v>107</v>
      </c>
      <c r="W2" s="4" t="s">
        <v>108</v>
      </c>
      <c r="X2" s="4" t="s">
        <v>107</v>
      </c>
      <c r="Y2" s="4" t="s">
        <v>108</v>
      </c>
      <c r="Z2" s="57"/>
    </row>
    <row r="3" spans="1:26" x14ac:dyDescent="0.25">
      <c r="A3" s="56" t="s">
        <v>231</v>
      </c>
      <c r="B3" s="60">
        <v>1579</v>
      </c>
      <c r="C3" s="60"/>
      <c r="D3" s="56">
        <v>6</v>
      </c>
      <c r="E3" s="56"/>
      <c r="F3" s="56">
        <v>0.1</v>
      </c>
      <c r="G3" s="56"/>
      <c r="H3" s="56">
        <v>2.2799999999999998</v>
      </c>
      <c r="I3" s="56"/>
      <c r="J3" s="2" t="s">
        <v>232</v>
      </c>
      <c r="N3" s="6"/>
      <c r="Q3" s="56" t="s">
        <v>231</v>
      </c>
      <c r="R3" s="60">
        <v>1579</v>
      </c>
      <c r="S3" s="60"/>
      <c r="T3" s="56">
        <v>6</v>
      </c>
      <c r="U3" s="56"/>
      <c r="V3" s="56">
        <v>0.1</v>
      </c>
      <c r="W3" s="56"/>
      <c r="X3" s="56">
        <v>1.61</v>
      </c>
      <c r="Y3" s="56"/>
      <c r="Z3" s="2" t="s">
        <v>232</v>
      </c>
    </row>
    <row r="4" spans="1:26" x14ac:dyDescent="0.25">
      <c r="A4" s="56"/>
      <c r="B4" s="60"/>
      <c r="C4" s="60"/>
      <c r="D4" s="56"/>
      <c r="E4" s="56"/>
      <c r="F4" s="56"/>
      <c r="G4" s="56"/>
      <c r="H4" s="56"/>
      <c r="I4" s="56"/>
      <c r="J4" s="2" t="s">
        <v>233</v>
      </c>
      <c r="N4" s="6"/>
      <c r="Q4" s="56"/>
      <c r="R4" s="60"/>
      <c r="S4" s="60"/>
      <c r="T4" s="56"/>
      <c r="U4" s="56"/>
      <c r="V4" s="56"/>
      <c r="W4" s="56"/>
      <c r="X4" s="56"/>
      <c r="Y4" s="56"/>
      <c r="Z4" s="2" t="s">
        <v>233</v>
      </c>
    </row>
    <row r="5" spans="1:26" x14ac:dyDescent="0.25">
      <c r="A5" s="2" t="s">
        <v>35</v>
      </c>
      <c r="B5" s="2">
        <v>145</v>
      </c>
      <c r="C5" s="2">
        <v>147</v>
      </c>
      <c r="D5" s="2">
        <v>4</v>
      </c>
      <c r="E5" s="1">
        <v>4</v>
      </c>
      <c r="F5" s="2">
        <v>0.5</v>
      </c>
      <c r="G5" s="2">
        <v>1.5</v>
      </c>
      <c r="H5" s="2">
        <v>0.36</v>
      </c>
      <c r="I5" s="2">
        <v>0.36</v>
      </c>
      <c r="J5" s="2" t="s">
        <v>109</v>
      </c>
      <c r="L5" s="3">
        <f>79+66</f>
        <v>145</v>
      </c>
      <c r="M5" s="3" t="s">
        <v>225</v>
      </c>
      <c r="N5" s="3">
        <v>0.36</v>
      </c>
      <c r="O5" s="3" t="s">
        <v>226</v>
      </c>
      <c r="Q5" s="2" t="s">
        <v>35</v>
      </c>
      <c r="R5" s="2">
        <v>145</v>
      </c>
      <c r="S5" s="2" t="s">
        <v>3</v>
      </c>
      <c r="T5" s="2">
        <v>4</v>
      </c>
      <c r="U5" s="1" t="s">
        <v>3</v>
      </c>
      <c r="V5" s="2">
        <v>0.5</v>
      </c>
      <c r="W5" s="2" t="s">
        <v>3</v>
      </c>
      <c r="X5" s="2">
        <v>0.36</v>
      </c>
      <c r="Y5" s="2" t="s">
        <v>3</v>
      </c>
      <c r="Z5" s="2" t="s">
        <v>109</v>
      </c>
    </row>
    <row r="6" spans="1:26" x14ac:dyDescent="0.25">
      <c r="A6" s="2" t="s">
        <v>92</v>
      </c>
      <c r="B6" s="2">
        <v>103</v>
      </c>
      <c r="C6" s="2" t="s">
        <v>3</v>
      </c>
      <c r="D6" s="2">
        <v>4</v>
      </c>
      <c r="E6" s="1" t="s">
        <v>3</v>
      </c>
      <c r="F6" s="2">
        <v>0.3</v>
      </c>
      <c r="G6" s="2" t="s">
        <v>3</v>
      </c>
      <c r="H6" s="2">
        <v>0.16</v>
      </c>
      <c r="I6" s="2" t="s">
        <v>3</v>
      </c>
      <c r="J6" s="2" t="s">
        <v>109</v>
      </c>
      <c r="L6" s="3">
        <v>103</v>
      </c>
      <c r="M6" s="3" t="s">
        <v>225</v>
      </c>
      <c r="N6" s="3">
        <v>0.16</v>
      </c>
      <c r="O6" s="3" t="s">
        <v>226</v>
      </c>
      <c r="Q6" s="2" t="s">
        <v>92</v>
      </c>
      <c r="R6" s="2">
        <v>103</v>
      </c>
      <c r="S6" s="2" t="s">
        <v>3</v>
      </c>
      <c r="T6" s="2">
        <v>4</v>
      </c>
      <c r="U6" s="1" t="s">
        <v>3</v>
      </c>
      <c r="V6" s="2">
        <v>0.3</v>
      </c>
      <c r="W6" s="2" t="s">
        <v>3</v>
      </c>
      <c r="X6" s="2">
        <v>0.16</v>
      </c>
      <c r="Y6" s="2" t="s">
        <v>3</v>
      </c>
      <c r="Z6" s="2" t="s">
        <v>109</v>
      </c>
    </row>
    <row r="7" spans="1:26" x14ac:dyDescent="0.25">
      <c r="A7" s="4" t="s">
        <v>5</v>
      </c>
      <c r="B7" s="62">
        <f>SUM(B3:C6)</f>
        <v>1974</v>
      </c>
      <c r="C7" s="59"/>
      <c r="D7" s="39"/>
      <c r="E7" s="39"/>
      <c r="F7" s="39"/>
      <c r="G7" s="39"/>
      <c r="H7" s="57">
        <f>SUM(H3:I6)</f>
        <v>3.1599999999999997</v>
      </c>
      <c r="I7" s="57"/>
      <c r="L7" s="3">
        <v>1579</v>
      </c>
      <c r="M7" s="3" t="s">
        <v>225</v>
      </c>
      <c r="N7" s="3">
        <v>2.2799999999999998</v>
      </c>
      <c r="O7" s="3" t="s">
        <v>226</v>
      </c>
      <c r="Q7" s="4" t="s">
        <v>5</v>
      </c>
      <c r="R7" s="58">
        <f>SUM(R3:S6)</f>
        <v>1827</v>
      </c>
      <c r="S7" s="58"/>
      <c r="T7" s="39"/>
      <c r="U7" s="39"/>
      <c r="V7" s="39"/>
      <c r="W7" s="39"/>
      <c r="X7" s="59">
        <f>SUM(X3:Y6)</f>
        <v>2.1300000000000003</v>
      </c>
      <c r="Y7" s="59"/>
    </row>
    <row r="8" spans="1:26" x14ac:dyDescent="0.25">
      <c r="C8" s="6"/>
      <c r="L8" s="3">
        <f>SUM(L5:L7)</f>
        <v>1827</v>
      </c>
      <c r="N8" s="3">
        <f>SUM(N5:N7)</f>
        <v>2.8</v>
      </c>
    </row>
    <row r="9" spans="1:26" ht="18.75" x14ac:dyDescent="0.25">
      <c r="A9" s="5" t="s">
        <v>124</v>
      </c>
      <c r="B9" s="5" t="s">
        <v>8</v>
      </c>
      <c r="C9" s="5" t="s">
        <v>230</v>
      </c>
    </row>
    <row r="10" spans="1:26" x14ac:dyDescent="0.25">
      <c r="A10" s="1" t="s">
        <v>18</v>
      </c>
      <c r="B10" s="1">
        <v>521</v>
      </c>
      <c r="C10" s="1">
        <v>156</v>
      </c>
      <c r="D10" s="18"/>
    </row>
    <row r="11" spans="1:26" x14ac:dyDescent="0.25">
      <c r="A11" s="1" t="s">
        <v>21</v>
      </c>
      <c r="B11" s="15">
        <v>1585</v>
      </c>
      <c r="C11" s="15">
        <v>1063</v>
      </c>
      <c r="D11" s="18"/>
    </row>
    <row r="12" spans="1:26" x14ac:dyDescent="0.25">
      <c r="A12" s="1" t="s">
        <v>24</v>
      </c>
      <c r="B12" s="1">
        <v>805</v>
      </c>
      <c r="C12" s="1">
        <v>394</v>
      </c>
      <c r="D12" s="18"/>
    </row>
    <row r="13" spans="1:26" x14ac:dyDescent="0.25">
      <c r="A13" s="5" t="s">
        <v>5</v>
      </c>
      <c r="B13" s="45">
        <f>SUM(B10:B12)</f>
        <v>2911</v>
      </c>
      <c r="C13" s="45">
        <f>SUM(C10:C12)</f>
        <v>1613</v>
      </c>
      <c r="D13" s="18"/>
    </row>
    <row r="14" spans="1:26" x14ac:dyDescent="0.25">
      <c r="A14" s="2" t="s">
        <v>23</v>
      </c>
      <c r="B14" s="2">
        <v>147</v>
      </c>
      <c r="C14" s="9">
        <f>B14*0.3</f>
        <v>44.1</v>
      </c>
    </row>
    <row r="15" spans="1:26" x14ac:dyDescent="0.25">
      <c r="A15" s="2" t="s">
        <v>208</v>
      </c>
      <c r="B15" s="2">
        <v>181</v>
      </c>
      <c r="C15" s="9">
        <f>B15*0.3</f>
        <v>54.3</v>
      </c>
    </row>
    <row r="16" spans="1:26" x14ac:dyDescent="0.25">
      <c r="A16" s="2" t="s">
        <v>72</v>
      </c>
      <c r="B16" s="2">
        <v>65</v>
      </c>
      <c r="C16" s="9">
        <f>B16*0.3</f>
        <v>19.5</v>
      </c>
    </row>
    <row r="17" spans="1:3" x14ac:dyDescent="0.25">
      <c r="A17" s="5" t="s">
        <v>5</v>
      </c>
      <c r="B17" s="45">
        <f>SUM(B14:B16)</f>
        <v>393</v>
      </c>
      <c r="C17" s="45">
        <f>SUM(C14:C16)</f>
        <v>117.9</v>
      </c>
    </row>
    <row r="18" spans="1:3" x14ac:dyDescent="0.25">
      <c r="B18" s="14">
        <f>SUM(B13,B17)</f>
        <v>3304</v>
      </c>
      <c r="C18" s="14">
        <f>SUM(C13,C17)</f>
        <v>1730.9</v>
      </c>
    </row>
  </sheetData>
  <mergeCells count="26">
    <mergeCell ref="B7:C7"/>
    <mergeCell ref="H7:I7"/>
    <mergeCell ref="H1:I1"/>
    <mergeCell ref="J1:J2"/>
    <mergeCell ref="A1:A2"/>
    <mergeCell ref="B1:C1"/>
    <mergeCell ref="D1:E1"/>
    <mergeCell ref="F1:G1"/>
    <mergeCell ref="A3:A4"/>
    <mergeCell ref="B3:C4"/>
    <mergeCell ref="D3:E4"/>
    <mergeCell ref="F3:G4"/>
    <mergeCell ref="H3:I4"/>
    <mergeCell ref="R7:S7"/>
    <mergeCell ref="X7:Y7"/>
    <mergeCell ref="Z1:Z2"/>
    <mergeCell ref="Q3:Q4"/>
    <mergeCell ref="R3:S4"/>
    <mergeCell ref="T3:U4"/>
    <mergeCell ref="V3:W4"/>
    <mergeCell ref="X3:Y4"/>
    <mergeCell ref="Q1:Q2"/>
    <mergeCell ref="R1:S1"/>
    <mergeCell ref="T1:U1"/>
    <mergeCell ref="V1:W1"/>
    <mergeCell ref="X1:Y1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BI57"/>
  <sheetViews>
    <sheetView zoomScale="85" zoomScaleNormal="85" workbookViewId="0">
      <selection activeCell="D12" sqref="D12"/>
    </sheetView>
  </sheetViews>
  <sheetFormatPr defaultColWidth="9.140625" defaultRowHeight="15.75" x14ac:dyDescent="0.25"/>
  <cols>
    <col min="1" max="1" width="36.7109375" style="3" bestFit="1" customWidth="1"/>
    <col min="2" max="2" width="49.85546875" style="3" bestFit="1" customWidth="1"/>
    <col min="3" max="3" width="11.5703125" style="3" bestFit="1" customWidth="1"/>
    <col min="4" max="4" width="13.85546875" style="3" bestFit="1" customWidth="1"/>
    <col min="5" max="5" width="11.42578125" style="3" customWidth="1"/>
    <col min="6" max="6" width="12.5703125" style="3" hidden="1" customWidth="1"/>
    <col min="7" max="7" width="11.42578125" style="3" hidden="1" customWidth="1"/>
    <col min="8" max="8" width="6.28515625" style="3" customWidth="1"/>
    <col min="9" max="9" width="11.42578125" style="3" customWidth="1"/>
    <col min="10" max="10" width="12.5703125" style="3" customWidth="1"/>
    <col min="11" max="11" width="25.28515625" style="3" bestFit="1" customWidth="1"/>
    <col min="12" max="12" width="25.85546875" style="3" bestFit="1" customWidth="1"/>
    <col min="13" max="13" width="52.85546875" style="3" bestFit="1" customWidth="1"/>
    <col min="14" max="14" width="11.5703125" style="3" bestFit="1" customWidth="1"/>
    <col min="15" max="15" width="14.42578125" style="3" bestFit="1" customWidth="1"/>
    <col min="16" max="16" width="8.7109375" style="3" bestFit="1" customWidth="1"/>
    <col min="17" max="17" width="28.7109375" style="3" bestFit="1" customWidth="1"/>
    <col min="18" max="18" width="17.28515625" style="3" bestFit="1" customWidth="1"/>
    <col min="19" max="19" width="16.7109375" style="3" bestFit="1" customWidth="1"/>
    <col min="20" max="20" width="16.5703125" style="3" bestFit="1" customWidth="1"/>
    <col min="21" max="21" width="28" style="3" bestFit="1" customWidth="1"/>
    <col min="22" max="22" width="45.5703125" style="3" bestFit="1" customWidth="1"/>
    <col min="23" max="23" width="10.5703125" style="3" bestFit="1" customWidth="1"/>
    <col min="24" max="24" width="13.140625" style="3" bestFit="1" customWidth="1"/>
    <col min="25" max="25" width="7.140625" style="3" bestFit="1" customWidth="1"/>
    <col min="26" max="26" width="27.140625" style="3" bestFit="1" customWidth="1"/>
    <col min="27" max="28" width="15.85546875" style="3" bestFit="1" customWidth="1"/>
    <col min="29" max="29" width="16.7109375" style="3" bestFit="1" customWidth="1"/>
    <col min="30" max="30" width="16.7109375" style="3" customWidth="1"/>
    <col min="31" max="31" width="15" style="3" bestFit="1" customWidth="1"/>
    <col min="32" max="32" width="27.140625" style="3" bestFit="1" customWidth="1"/>
    <col min="33" max="33" width="49.85546875" style="3" bestFit="1" customWidth="1"/>
    <col min="34" max="34" width="11.5703125" style="3" bestFit="1" customWidth="1"/>
    <col min="35" max="35" width="13.85546875" style="3" bestFit="1" customWidth="1"/>
    <col min="36" max="36" width="7.140625" style="3" bestFit="1" customWidth="1"/>
    <col min="37" max="37" width="28.7109375" style="3" bestFit="1" customWidth="1"/>
    <col min="38" max="38" width="17.28515625" style="3" bestFit="1" customWidth="1"/>
    <col min="39" max="39" width="16.7109375" style="3" bestFit="1" customWidth="1"/>
    <col min="40" max="40" width="5.85546875" style="3" bestFit="1" customWidth="1"/>
    <col min="41" max="41" width="24.140625" style="3" bestFit="1" customWidth="1"/>
    <col min="42" max="42" width="31" style="3" bestFit="1" customWidth="1"/>
    <col min="43" max="43" width="52.85546875" style="3" bestFit="1" customWidth="1"/>
    <col min="44" max="44" width="11.5703125" style="3" bestFit="1" customWidth="1"/>
    <col min="45" max="45" width="13.85546875" style="3" bestFit="1" customWidth="1"/>
    <col min="46" max="46" width="7.85546875" style="3" bestFit="1" customWidth="1"/>
    <col min="47" max="47" width="11.140625" style="3" customWidth="1"/>
    <col min="48" max="48" width="8.7109375" style="3" customWidth="1"/>
    <col min="49" max="49" width="11.85546875" style="3" customWidth="1"/>
    <col min="50" max="16384" width="9.140625" style="3"/>
  </cols>
  <sheetData>
    <row r="1" spans="1:61" x14ac:dyDescent="0.25">
      <c r="A1" s="4" t="s">
        <v>6</v>
      </c>
      <c r="B1" s="4" t="s">
        <v>130</v>
      </c>
      <c r="C1" s="4" t="s">
        <v>131</v>
      </c>
      <c r="D1" s="4" t="s">
        <v>132</v>
      </c>
      <c r="F1" s="30"/>
      <c r="G1" s="7"/>
      <c r="H1" s="7"/>
    </row>
    <row r="2" spans="1:61" x14ac:dyDescent="0.25">
      <c r="A2" s="56">
        <v>1</v>
      </c>
      <c r="B2" s="56" t="s">
        <v>133</v>
      </c>
      <c r="C2" s="2" t="s">
        <v>134</v>
      </c>
      <c r="D2" s="21">
        <f>Trassiraied!B51</f>
        <v>33600</v>
      </c>
      <c r="E2" s="14"/>
      <c r="F2" s="31"/>
    </row>
    <row r="3" spans="1:61" x14ac:dyDescent="0.25">
      <c r="A3" s="56"/>
      <c r="B3" s="56"/>
      <c r="C3" s="2" t="s">
        <v>136</v>
      </c>
      <c r="D3" s="32">
        <f>Trassiraied!G51</f>
        <v>20.220799999999997</v>
      </c>
      <c r="E3" s="18"/>
      <c r="F3" s="33"/>
    </row>
    <row r="4" spans="1:61" x14ac:dyDescent="0.25">
      <c r="A4" s="65">
        <v>2</v>
      </c>
      <c r="B4" s="65" t="s">
        <v>149</v>
      </c>
      <c r="C4" s="2" t="s">
        <v>134</v>
      </c>
      <c r="D4" s="21">
        <f>Trassiraied!B50</f>
        <v>3277</v>
      </c>
      <c r="E4" s="33"/>
    </row>
    <row r="5" spans="1:61" x14ac:dyDescent="0.25">
      <c r="A5" s="66"/>
      <c r="B5" s="66"/>
      <c r="C5" s="2" t="s">
        <v>136</v>
      </c>
      <c r="D5" s="32">
        <f>Trassiraied!G50</f>
        <v>1.9661999999999999</v>
      </c>
      <c r="E5" s="18"/>
    </row>
    <row r="6" spans="1:61" x14ac:dyDescent="0.25">
      <c r="A6" s="27">
        <v>3</v>
      </c>
      <c r="B6" s="27" t="s">
        <v>137</v>
      </c>
      <c r="C6" s="2" t="s">
        <v>136</v>
      </c>
      <c r="D6" s="25">
        <f>Trassiraied!H51-Trassiraied!G51</f>
        <v>10.958000000000006</v>
      </c>
    </row>
    <row r="7" spans="1:61" x14ac:dyDescent="0.25">
      <c r="A7" s="65">
        <v>4</v>
      </c>
      <c r="B7" s="69" t="s">
        <v>139</v>
      </c>
      <c r="C7" s="2" t="s">
        <v>134</v>
      </c>
      <c r="D7" s="21">
        <f>SUM(Vallid!R5:S6)</f>
        <v>248</v>
      </c>
    </row>
    <row r="8" spans="1:61" ht="18.75" x14ac:dyDescent="0.25">
      <c r="A8" s="66"/>
      <c r="B8" s="66"/>
      <c r="C8" s="16" t="s">
        <v>140</v>
      </c>
      <c r="D8" s="36">
        <f>SUM(Vallid!X5:Y6)</f>
        <v>0.52</v>
      </c>
    </row>
    <row r="9" spans="1:61" x14ac:dyDescent="0.25">
      <c r="A9" s="28">
        <v>5</v>
      </c>
      <c r="B9" s="28" t="s">
        <v>138</v>
      </c>
      <c r="C9" s="28" t="s">
        <v>122</v>
      </c>
      <c r="D9" s="43">
        <f>Paisud!D22</f>
        <v>402</v>
      </c>
      <c r="E9" s="6"/>
      <c r="F9" s="6"/>
    </row>
    <row r="10" spans="1:61" x14ac:dyDescent="0.25">
      <c r="A10" s="2">
        <v>6</v>
      </c>
      <c r="B10" s="2" t="s">
        <v>135</v>
      </c>
      <c r="C10" s="2" t="s">
        <v>122</v>
      </c>
      <c r="D10" s="9">
        <f>Paisud!D16</f>
        <v>369</v>
      </c>
      <c r="E10" s="6"/>
      <c r="F10" s="6"/>
    </row>
    <row r="11" spans="1:61" x14ac:dyDescent="0.25">
      <c r="A11" s="24">
        <v>7</v>
      </c>
      <c r="B11" s="2" t="s">
        <v>141</v>
      </c>
      <c r="C11" s="2" t="s">
        <v>122</v>
      </c>
      <c r="D11" s="9">
        <f>Paisud!D18</f>
        <v>12</v>
      </c>
      <c r="F11" s="6"/>
      <c r="BI11" s="34"/>
    </row>
    <row r="12" spans="1:61" x14ac:dyDescent="0.25">
      <c r="A12" s="2">
        <v>8</v>
      </c>
      <c r="B12" s="24" t="s">
        <v>142</v>
      </c>
      <c r="C12" s="24" t="s">
        <v>122</v>
      </c>
      <c r="D12" s="9">
        <f>Paisud!D20</f>
        <v>21</v>
      </c>
      <c r="E12" s="6"/>
      <c r="F12" s="6"/>
      <c r="BI12" s="34"/>
    </row>
    <row r="13" spans="1:61" x14ac:dyDescent="0.25">
      <c r="A13" s="65">
        <v>9</v>
      </c>
      <c r="B13" s="67" t="s">
        <v>229</v>
      </c>
      <c r="C13" s="2" t="s">
        <v>134</v>
      </c>
      <c r="D13" s="9">
        <f>Vallid!B17</f>
        <v>393</v>
      </c>
      <c r="E13" s="6"/>
      <c r="F13" s="6"/>
      <c r="J13" s="6"/>
      <c r="BI13" s="34"/>
    </row>
    <row r="14" spans="1:61" ht="18.75" x14ac:dyDescent="0.25">
      <c r="A14" s="66"/>
      <c r="B14" s="68"/>
      <c r="C14" s="16" t="s">
        <v>140</v>
      </c>
      <c r="D14" s="44">
        <f>Vallid!C17/1000</f>
        <v>0.1179</v>
      </c>
      <c r="E14" s="6"/>
      <c r="F14" s="6"/>
      <c r="BI14" s="34"/>
    </row>
    <row r="15" spans="1:61" x14ac:dyDescent="0.25">
      <c r="A15" s="24">
        <v>10</v>
      </c>
      <c r="B15" s="2" t="s">
        <v>146</v>
      </c>
      <c r="C15" s="2" t="s">
        <v>122</v>
      </c>
      <c r="D15" s="2">
        <v>11</v>
      </c>
    </row>
    <row r="17" spans="1:61" x14ac:dyDescent="0.25">
      <c r="A17" s="13" t="s">
        <v>130</v>
      </c>
      <c r="B17" s="13" t="s">
        <v>113</v>
      </c>
      <c r="C17" s="13" t="s">
        <v>131</v>
      </c>
      <c r="D17" s="13" t="s">
        <v>132</v>
      </c>
    </row>
    <row r="18" spans="1:61" x14ac:dyDescent="0.25">
      <c r="A18" s="71" t="s">
        <v>146</v>
      </c>
      <c r="B18" s="16" t="s">
        <v>148</v>
      </c>
      <c r="C18" s="16" t="s">
        <v>122</v>
      </c>
      <c r="D18" s="16">
        <f>3*D15</f>
        <v>33</v>
      </c>
      <c r="BI18" s="19"/>
    </row>
    <row r="19" spans="1:61" x14ac:dyDescent="0.25">
      <c r="A19" s="71"/>
      <c r="B19" s="16" t="s">
        <v>147</v>
      </c>
      <c r="C19" s="16" t="s">
        <v>227</v>
      </c>
      <c r="D19" s="49">
        <f>D18*8.5</f>
        <v>280.5</v>
      </c>
      <c r="BI19" s="19"/>
    </row>
    <row r="20" spans="1:61" ht="31.5" customHeight="1" x14ac:dyDescent="0.25">
      <c r="BI20" s="19"/>
    </row>
    <row r="21" spans="1:61" x14ac:dyDescent="0.25">
      <c r="A21" s="4" t="s">
        <v>6</v>
      </c>
      <c r="B21" s="4" t="s">
        <v>130</v>
      </c>
      <c r="C21" s="4" t="s">
        <v>131</v>
      </c>
      <c r="D21" s="4" t="s">
        <v>132</v>
      </c>
      <c r="BI21" s="19"/>
    </row>
    <row r="22" spans="1:61" x14ac:dyDescent="0.25">
      <c r="A22" s="2">
        <v>1</v>
      </c>
      <c r="B22" s="2" t="s">
        <v>137</v>
      </c>
      <c r="C22" s="2" t="s">
        <v>136</v>
      </c>
      <c r="D22" s="25">
        <f>Trassiraied!H5-Trassiraied!G5</f>
        <v>0.3899999999999999</v>
      </c>
      <c r="BI22" s="19"/>
    </row>
    <row r="23" spans="1:61" x14ac:dyDescent="0.25">
      <c r="A23" s="2">
        <v>2</v>
      </c>
      <c r="B23" s="2" t="s">
        <v>138</v>
      </c>
      <c r="C23" s="2" t="s">
        <v>122</v>
      </c>
      <c r="D23" s="48">
        <f>Paisud!D26</f>
        <v>15</v>
      </c>
      <c r="BI23" s="19"/>
    </row>
    <row r="24" spans="1:61" x14ac:dyDescent="0.25">
      <c r="A24" s="2">
        <v>3</v>
      </c>
      <c r="B24" s="2" t="s">
        <v>135</v>
      </c>
      <c r="C24" s="2" t="s">
        <v>122</v>
      </c>
      <c r="D24" s="9">
        <f>Paisud!D26</f>
        <v>15</v>
      </c>
      <c r="BI24" s="19"/>
    </row>
    <row r="25" spans="1:61" x14ac:dyDescent="0.25">
      <c r="A25" s="65">
        <v>4</v>
      </c>
      <c r="B25" s="69" t="s">
        <v>139</v>
      </c>
      <c r="C25" s="2" t="s">
        <v>134</v>
      </c>
      <c r="D25" s="21">
        <f>Vallid!R3</f>
        <v>1579</v>
      </c>
      <c r="BI25" s="19"/>
    </row>
    <row r="26" spans="1:61" ht="18.75" x14ac:dyDescent="0.25">
      <c r="A26" s="66"/>
      <c r="B26" s="66"/>
      <c r="C26" s="16" t="s">
        <v>140</v>
      </c>
      <c r="D26" s="36">
        <f>Vallid!X3</f>
        <v>1.61</v>
      </c>
      <c r="BI26" s="19"/>
    </row>
    <row r="27" spans="1:61" x14ac:dyDescent="0.25">
      <c r="A27" s="65">
        <v>5</v>
      </c>
      <c r="B27" s="69" t="s">
        <v>229</v>
      </c>
      <c r="C27" s="2" t="s">
        <v>134</v>
      </c>
      <c r="D27" s="21">
        <f>Vallid!B13</f>
        <v>2911</v>
      </c>
      <c r="BI27" s="19"/>
    </row>
    <row r="28" spans="1:61" ht="18.75" x14ac:dyDescent="0.25">
      <c r="A28" s="66"/>
      <c r="B28" s="70"/>
      <c r="C28" s="16" t="s">
        <v>140</v>
      </c>
      <c r="D28" s="44">
        <f>Vallid!C13/1000</f>
        <v>1.613</v>
      </c>
      <c r="BI28" s="19"/>
    </row>
    <row r="29" spans="1:61" x14ac:dyDescent="0.25">
      <c r="BI29" s="19"/>
    </row>
    <row r="30" spans="1:61" x14ac:dyDescent="0.25">
      <c r="BI30" s="19"/>
    </row>
    <row r="31" spans="1:61" x14ac:dyDescent="0.25">
      <c r="BI31" s="19"/>
    </row>
    <row r="32" spans="1:61" x14ac:dyDescent="0.25">
      <c r="BI32" s="19"/>
    </row>
    <row r="33" spans="42:61" x14ac:dyDescent="0.25">
      <c r="BI33" s="19"/>
    </row>
    <row r="34" spans="42:61" x14ac:dyDescent="0.25">
      <c r="BI34" s="19"/>
    </row>
    <row r="35" spans="42:61" x14ac:dyDescent="0.25">
      <c r="BI35" s="19"/>
    </row>
    <row r="45" spans="42:61" x14ac:dyDescent="0.25">
      <c r="AP45" s="14"/>
    </row>
    <row r="55" spans="36:42" x14ac:dyDescent="0.25">
      <c r="AJ55" s="35"/>
    </row>
    <row r="57" spans="36:42" x14ac:dyDescent="0.25">
      <c r="AP57" s="14"/>
    </row>
  </sheetData>
  <mergeCells count="13">
    <mergeCell ref="A25:A26"/>
    <mergeCell ref="B25:B26"/>
    <mergeCell ref="A27:A28"/>
    <mergeCell ref="B27:B28"/>
    <mergeCell ref="A18:A19"/>
    <mergeCell ref="A13:A14"/>
    <mergeCell ref="B13:B14"/>
    <mergeCell ref="A7:A8"/>
    <mergeCell ref="A2:A3"/>
    <mergeCell ref="B2:B3"/>
    <mergeCell ref="A4:A5"/>
    <mergeCell ref="B4:B5"/>
    <mergeCell ref="B7:B8"/>
  </mergeCells>
  <phoneticPr fontId="4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459D59-3BF1-4B50-9131-86B9503950A9}">
  <dimension ref="A1:O51"/>
  <sheetViews>
    <sheetView zoomScaleNormal="100" workbookViewId="0">
      <pane ySplit="2" topLeftCell="A27" activePane="bottomLeft" state="frozen"/>
      <selection pane="bottomLeft" activeCell="L28" sqref="L28"/>
    </sheetView>
  </sheetViews>
  <sheetFormatPr defaultColWidth="9.140625" defaultRowHeight="15.75" x14ac:dyDescent="0.25"/>
  <cols>
    <col min="1" max="1" width="13.85546875" bestFit="1" customWidth="1"/>
    <col min="2" max="2" width="10.28515625" customWidth="1"/>
    <col min="3" max="3" width="8.7109375" customWidth="1"/>
    <col min="4" max="4" width="9.42578125" customWidth="1"/>
    <col min="5" max="5" width="9.28515625" customWidth="1"/>
    <col min="6" max="6" width="29.42578125" bestFit="1" customWidth="1"/>
    <col min="7" max="7" width="15.42578125" bestFit="1" customWidth="1"/>
    <col min="8" max="8" width="17.85546875" bestFit="1" customWidth="1"/>
    <col min="9" max="9" width="15.140625" style="10" customWidth="1"/>
    <col min="10" max="10" width="9.140625" style="22" customWidth="1"/>
    <col min="11" max="11" width="9.140625" style="11" customWidth="1"/>
    <col min="12" max="16384" width="9.140625" style="11"/>
  </cols>
  <sheetData>
    <row r="1" spans="1:15" x14ac:dyDescent="0.25">
      <c r="A1" s="63" t="s">
        <v>124</v>
      </c>
      <c r="B1" s="57" t="s">
        <v>125</v>
      </c>
      <c r="C1" s="57"/>
      <c r="D1" s="57" t="s">
        <v>126</v>
      </c>
      <c r="E1" s="57"/>
      <c r="F1" s="63" t="s">
        <v>127</v>
      </c>
      <c r="G1" s="63" t="s">
        <v>128</v>
      </c>
      <c r="H1" s="63" t="s">
        <v>129</v>
      </c>
      <c r="M1" s="11" t="s">
        <v>221</v>
      </c>
      <c r="N1" s="11" t="s">
        <v>222</v>
      </c>
      <c r="O1" s="11" t="s">
        <v>223</v>
      </c>
    </row>
    <row r="2" spans="1:15" x14ac:dyDescent="0.25">
      <c r="A2" s="59"/>
      <c r="B2" s="4" t="s">
        <v>107</v>
      </c>
      <c r="C2" s="4" t="s">
        <v>108</v>
      </c>
      <c r="D2" s="4" t="s">
        <v>107</v>
      </c>
      <c r="E2" s="4" t="s">
        <v>108</v>
      </c>
      <c r="F2" s="59"/>
      <c r="G2" s="59"/>
      <c r="H2" s="59"/>
      <c r="I2" s="11" t="s">
        <v>217</v>
      </c>
      <c r="K2" s="11" t="s">
        <v>219</v>
      </c>
      <c r="M2" s="11">
        <v>260</v>
      </c>
      <c r="N2" s="11">
        <v>470</v>
      </c>
      <c r="O2" s="11">
        <v>470</v>
      </c>
    </row>
    <row r="3" spans="1:15" x14ac:dyDescent="0.25">
      <c r="A3" s="2" t="s">
        <v>13</v>
      </c>
      <c r="B3" s="21"/>
      <c r="C3" s="21">
        <v>1125</v>
      </c>
      <c r="D3" s="2"/>
      <c r="E3" s="2">
        <v>6</v>
      </c>
      <c r="F3" s="21">
        <f>I3*$M$2</f>
        <v>2860</v>
      </c>
      <c r="G3" s="25">
        <f>((B3+C3)*6)/10000</f>
        <v>0.67500000000000004</v>
      </c>
      <c r="H3" s="25">
        <f t="shared" ref="H3:H4" si="0">G3+(F3/10000)</f>
        <v>0.96100000000000008</v>
      </c>
      <c r="I3" s="11">
        <v>11</v>
      </c>
      <c r="K3" s="11">
        <v>57</v>
      </c>
    </row>
    <row r="4" spans="1:15" x14ac:dyDescent="0.25">
      <c r="A4" s="2" t="s">
        <v>15</v>
      </c>
      <c r="B4" s="21">
        <f>417+137</f>
        <v>554</v>
      </c>
      <c r="C4" s="21"/>
      <c r="D4" s="2">
        <v>6</v>
      </c>
      <c r="E4" s="2"/>
      <c r="F4" s="21">
        <f>I4*$M$2</f>
        <v>1300</v>
      </c>
      <c r="G4" s="25">
        <f t="shared" ref="G4" si="1">((B4+C4)*6)/10000</f>
        <v>0.33239999999999997</v>
      </c>
      <c r="H4" s="25">
        <f t="shared" si="0"/>
        <v>0.46239999999999998</v>
      </c>
      <c r="I4" s="11">
        <v>5</v>
      </c>
      <c r="K4" s="11">
        <v>35</v>
      </c>
    </row>
    <row r="5" spans="1:15" x14ac:dyDescent="0.25">
      <c r="A5" s="2" t="s">
        <v>21</v>
      </c>
      <c r="B5" s="21">
        <v>1582</v>
      </c>
      <c r="C5" s="21"/>
      <c r="D5" s="2">
        <v>6</v>
      </c>
      <c r="E5" s="2"/>
      <c r="F5" s="21">
        <f>I5*M2</f>
        <v>3900</v>
      </c>
      <c r="G5" s="25">
        <f t="shared" ref="G5:G49" si="2">((B5+C5)*6)/10000</f>
        <v>0.94920000000000004</v>
      </c>
      <c r="H5" s="25">
        <f t="shared" ref="H5:H49" si="3">G5+(F5/10000)</f>
        <v>1.3391999999999999</v>
      </c>
      <c r="I5" s="11">
        <v>15</v>
      </c>
      <c r="K5" s="11">
        <v>327</v>
      </c>
    </row>
    <row r="6" spans="1:15" x14ac:dyDescent="0.25">
      <c r="A6" s="2" t="s">
        <v>22</v>
      </c>
      <c r="B6" s="21">
        <v>119</v>
      </c>
      <c r="C6" s="21"/>
      <c r="D6" s="2">
        <v>6</v>
      </c>
      <c r="E6" s="2"/>
      <c r="F6" s="21">
        <f>I6*$O$2</f>
        <v>940</v>
      </c>
      <c r="G6" s="25">
        <f t="shared" si="2"/>
        <v>7.1400000000000005E-2</v>
      </c>
      <c r="H6" s="25">
        <f t="shared" si="3"/>
        <v>0.16539999999999999</v>
      </c>
      <c r="I6" s="11">
        <v>2</v>
      </c>
      <c r="K6" s="11">
        <v>55</v>
      </c>
    </row>
    <row r="7" spans="1:15" x14ac:dyDescent="0.25">
      <c r="A7" s="2" t="s">
        <v>23</v>
      </c>
      <c r="B7" s="21">
        <f>623+118+74+71</f>
        <v>886</v>
      </c>
      <c r="C7" s="21">
        <v>64</v>
      </c>
      <c r="D7" s="2">
        <v>6</v>
      </c>
      <c r="E7" s="2">
        <v>6</v>
      </c>
      <c r="F7" s="21">
        <f>I7*$M$2</f>
        <v>2340</v>
      </c>
      <c r="G7" s="25">
        <f t="shared" si="2"/>
        <v>0.56999999999999995</v>
      </c>
      <c r="H7" s="25">
        <f t="shared" si="3"/>
        <v>0.80399999999999994</v>
      </c>
      <c r="I7" s="11">
        <v>9</v>
      </c>
      <c r="K7" s="11">
        <v>137</v>
      </c>
    </row>
    <row r="8" spans="1:15" x14ac:dyDescent="0.25">
      <c r="A8" s="2" t="s">
        <v>25</v>
      </c>
      <c r="B8" s="21">
        <v>3955</v>
      </c>
      <c r="C8" s="21"/>
      <c r="D8" s="2">
        <v>6</v>
      </c>
      <c r="E8" s="2"/>
      <c r="F8" s="21">
        <f>I8*$M$2</f>
        <v>10400</v>
      </c>
      <c r="G8" s="25">
        <f t="shared" si="2"/>
        <v>2.3730000000000002</v>
      </c>
      <c r="H8" s="25">
        <f t="shared" si="3"/>
        <v>3.4130000000000003</v>
      </c>
      <c r="I8" s="11">
        <v>40</v>
      </c>
      <c r="K8" s="11">
        <v>163</v>
      </c>
    </row>
    <row r="9" spans="1:15" x14ac:dyDescent="0.25">
      <c r="A9" s="2" t="s">
        <v>26</v>
      </c>
      <c r="B9" s="21"/>
      <c r="C9" s="21">
        <v>1250</v>
      </c>
      <c r="D9" s="2"/>
      <c r="E9" s="2">
        <v>6</v>
      </c>
      <c r="F9" s="21">
        <f>I9*N2</f>
        <v>3290</v>
      </c>
      <c r="G9" s="25">
        <f t="shared" si="2"/>
        <v>0.75</v>
      </c>
      <c r="H9" s="25">
        <f t="shared" si="3"/>
        <v>1.079</v>
      </c>
      <c r="I9" s="11">
        <v>7</v>
      </c>
      <c r="K9" s="11">
        <v>43</v>
      </c>
    </row>
    <row r="10" spans="1:15" x14ac:dyDescent="0.25">
      <c r="A10" s="2" t="s">
        <v>28</v>
      </c>
      <c r="B10" s="21">
        <f>284+59</f>
        <v>343</v>
      </c>
      <c r="C10" s="21"/>
      <c r="D10" s="2">
        <v>6</v>
      </c>
      <c r="E10" s="2"/>
      <c r="F10" s="21">
        <f t="shared" ref="F10:F19" si="4">I10*$M$2</f>
        <v>1300</v>
      </c>
      <c r="G10" s="25">
        <f t="shared" si="2"/>
        <v>0.20580000000000001</v>
      </c>
      <c r="H10" s="25">
        <f t="shared" si="3"/>
        <v>0.33579999999999999</v>
      </c>
      <c r="I10" s="11">
        <v>5</v>
      </c>
      <c r="K10" s="11">
        <v>34</v>
      </c>
    </row>
    <row r="11" spans="1:15" x14ac:dyDescent="0.25">
      <c r="A11" s="2" t="s">
        <v>29</v>
      </c>
      <c r="B11" s="21">
        <f>306+65</f>
        <v>371</v>
      </c>
      <c r="C11" s="21"/>
      <c r="D11" s="2">
        <v>6</v>
      </c>
      <c r="E11" s="2"/>
      <c r="F11" s="21">
        <f t="shared" si="4"/>
        <v>1300</v>
      </c>
      <c r="G11" s="25">
        <f t="shared" si="2"/>
        <v>0.22259999999999999</v>
      </c>
      <c r="H11" s="25">
        <f t="shared" si="3"/>
        <v>0.35260000000000002</v>
      </c>
      <c r="I11" s="11">
        <v>5</v>
      </c>
      <c r="K11" s="11">
        <v>35</v>
      </c>
    </row>
    <row r="12" spans="1:15" x14ac:dyDescent="0.25">
      <c r="A12" s="2" t="s">
        <v>30</v>
      </c>
      <c r="B12" s="21"/>
      <c r="C12" s="21">
        <f>306+113</f>
        <v>419</v>
      </c>
      <c r="D12" s="2"/>
      <c r="E12" s="2">
        <v>6</v>
      </c>
      <c r="F12" s="21">
        <f t="shared" si="4"/>
        <v>1300</v>
      </c>
      <c r="G12" s="25">
        <f t="shared" si="2"/>
        <v>0.25140000000000001</v>
      </c>
      <c r="H12" s="25">
        <f t="shared" si="3"/>
        <v>0.38140000000000002</v>
      </c>
      <c r="I12" s="11">
        <v>5</v>
      </c>
      <c r="K12" s="11">
        <v>160</v>
      </c>
    </row>
    <row r="13" spans="1:15" x14ac:dyDescent="0.25">
      <c r="A13" s="2" t="s">
        <v>31</v>
      </c>
      <c r="B13" s="21">
        <v>215</v>
      </c>
      <c r="C13" s="21"/>
      <c r="D13" s="2">
        <v>6</v>
      </c>
      <c r="E13" s="2"/>
      <c r="F13" s="21">
        <f t="shared" si="4"/>
        <v>780</v>
      </c>
      <c r="G13" s="25">
        <f t="shared" si="2"/>
        <v>0.129</v>
      </c>
      <c r="H13" s="25">
        <f t="shared" si="3"/>
        <v>0.20700000000000002</v>
      </c>
      <c r="I13" s="11">
        <v>3</v>
      </c>
      <c r="K13" s="11">
        <v>33</v>
      </c>
    </row>
    <row r="14" spans="1:15" x14ac:dyDescent="0.25">
      <c r="A14" s="2" t="s">
        <v>35</v>
      </c>
      <c r="B14" s="21">
        <v>243</v>
      </c>
      <c r="C14" s="21"/>
      <c r="D14" s="2">
        <v>6</v>
      </c>
      <c r="E14" s="2"/>
      <c r="F14" s="21">
        <f t="shared" si="4"/>
        <v>1040</v>
      </c>
      <c r="G14" s="25">
        <f t="shared" si="2"/>
        <v>0.14580000000000001</v>
      </c>
      <c r="H14" s="25">
        <f t="shared" si="3"/>
        <v>0.24980000000000002</v>
      </c>
      <c r="I14" s="11">
        <v>4</v>
      </c>
      <c r="K14" s="11">
        <v>31</v>
      </c>
    </row>
    <row r="15" spans="1:15" x14ac:dyDescent="0.25">
      <c r="A15" s="2" t="s">
        <v>39</v>
      </c>
      <c r="B15" s="21"/>
      <c r="C15" s="21">
        <v>137</v>
      </c>
      <c r="D15" s="2"/>
      <c r="E15" s="2">
        <v>6</v>
      </c>
      <c r="F15" s="21">
        <f t="shared" si="4"/>
        <v>1040</v>
      </c>
      <c r="G15" s="25">
        <f t="shared" si="2"/>
        <v>8.2199999999999995E-2</v>
      </c>
      <c r="H15" s="25">
        <f t="shared" si="3"/>
        <v>0.18619999999999998</v>
      </c>
      <c r="I15" s="11">
        <v>4</v>
      </c>
      <c r="K15" s="11">
        <v>43</v>
      </c>
    </row>
    <row r="16" spans="1:15" x14ac:dyDescent="0.25">
      <c r="A16" s="2" t="s">
        <v>41</v>
      </c>
      <c r="B16" s="21"/>
      <c r="C16" s="21">
        <f>50+48</f>
        <v>98</v>
      </c>
      <c r="D16" s="2"/>
      <c r="E16" s="2">
        <v>6</v>
      </c>
      <c r="F16" s="21">
        <f t="shared" si="4"/>
        <v>520</v>
      </c>
      <c r="G16" s="25">
        <f t="shared" si="2"/>
        <v>5.8799999999999998E-2</v>
      </c>
      <c r="H16" s="25">
        <f t="shared" si="3"/>
        <v>0.1108</v>
      </c>
      <c r="I16" s="11">
        <v>2</v>
      </c>
      <c r="K16" s="11">
        <v>47</v>
      </c>
    </row>
    <row r="17" spans="1:11" x14ac:dyDescent="0.25">
      <c r="A17" s="2" t="s">
        <v>43</v>
      </c>
      <c r="B17" s="21">
        <v>183</v>
      </c>
      <c r="C17" s="21"/>
      <c r="D17" s="2">
        <v>6</v>
      </c>
      <c r="E17" s="2"/>
      <c r="F17" s="21">
        <f t="shared" si="4"/>
        <v>520</v>
      </c>
      <c r="G17" s="25">
        <f t="shared" si="2"/>
        <v>0.10979999999999999</v>
      </c>
      <c r="H17" s="25">
        <f t="shared" si="3"/>
        <v>0.1618</v>
      </c>
      <c r="I17" s="10">
        <v>2</v>
      </c>
      <c r="K17" s="11">
        <v>106</v>
      </c>
    </row>
    <row r="18" spans="1:11" x14ac:dyDescent="0.25">
      <c r="A18" s="2" t="s">
        <v>45</v>
      </c>
      <c r="B18" s="21"/>
      <c r="C18" s="21">
        <v>175</v>
      </c>
      <c r="D18" s="2"/>
      <c r="E18" s="2">
        <v>6</v>
      </c>
      <c r="F18" s="21">
        <f t="shared" si="4"/>
        <v>520</v>
      </c>
      <c r="G18" s="25">
        <f t="shared" si="2"/>
        <v>0.105</v>
      </c>
      <c r="H18" s="25">
        <f t="shared" si="3"/>
        <v>0.157</v>
      </c>
      <c r="I18" s="10">
        <v>2</v>
      </c>
      <c r="K18" s="11">
        <v>864</v>
      </c>
    </row>
    <row r="19" spans="1:11" x14ac:dyDescent="0.25">
      <c r="A19" s="2" t="s">
        <v>46</v>
      </c>
      <c r="B19" s="21"/>
      <c r="C19" s="21">
        <v>825</v>
      </c>
      <c r="D19" s="2"/>
      <c r="E19" s="2">
        <v>6</v>
      </c>
      <c r="F19" s="21">
        <f t="shared" si="4"/>
        <v>4420</v>
      </c>
      <c r="G19" s="25">
        <f t="shared" si="2"/>
        <v>0.495</v>
      </c>
      <c r="H19" s="25">
        <f t="shared" si="3"/>
        <v>0.93700000000000006</v>
      </c>
      <c r="I19" s="10">
        <v>17</v>
      </c>
      <c r="K19" s="11">
        <v>205</v>
      </c>
    </row>
    <row r="20" spans="1:11" x14ac:dyDescent="0.25">
      <c r="A20" s="2" t="s">
        <v>54</v>
      </c>
      <c r="B20" s="21">
        <v>63</v>
      </c>
      <c r="C20" s="21"/>
      <c r="D20" s="2">
        <v>6</v>
      </c>
      <c r="E20" s="2"/>
      <c r="F20" s="21">
        <f>I20*N2</f>
        <v>940</v>
      </c>
      <c r="G20" s="25">
        <f t="shared" si="2"/>
        <v>3.78E-2</v>
      </c>
      <c r="H20" s="25">
        <f t="shared" si="3"/>
        <v>0.1318</v>
      </c>
      <c r="I20" s="10">
        <v>2</v>
      </c>
      <c r="K20" s="11">
        <v>61</v>
      </c>
    </row>
    <row r="21" spans="1:11" x14ac:dyDescent="0.25">
      <c r="A21" s="2" t="s">
        <v>60</v>
      </c>
      <c r="B21" s="21">
        <v>134</v>
      </c>
      <c r="C21" s="21"/>
      <c r="D21" s="2">
        <v>6</v>
      </c>
      <c r="E21" s="2"/>
      <c r="F21" s="21">
        <f>I21*$M$2</f>
        <v>780</v>
      </c>
      <c r="G21" s="25">
        <f t="shared" si="2"/>
        <v>8.0399999999999999E-2</v>
      </c>
      <c r="H21" s="25">
        <f t="shared" si="3"/>
        <v>0.15839999999999999</v>
      </c>
      <c r="I21" s="10">
        <v>3</v>
      </c>
      <c r="K21" s="11">
        <v>53</v>
      </c>
    </row>
    <row r="22" spans="1:11" x14ac:dyDescent="0.25">
      <c r="A22" s="2" t="s">
        <v>62</v>
      </c>
      <c r="B22" s="21">
        <f>196+24</f>
        <v>220</v>
      </c>
      <c r="C22" s="21"/>
      <c r="D22" s="2">
        <v>6</v>
      </c>
      <c r="E22" s="2"/>
      <c r="F22" s="21">
        <f>I22*$M$2</f>
        <v>780</v>
      </c>
      <c r="G22" s="25">
        <f t="shared" si="2"/>
        <v>0.13200000000000001</v>
      </c>
      <c r="H22" s="25">
        <f t="shared" si="3"/>
        <v>0.21000000000000002</v>
      </c>
      <c r="I22" s="10">
        <v>3</v>
      </c>
      <c r="K22" s="11">
        <v>47</v>
      </c>
    </row>
    <row r="23" spans="1:11" x14ac:dyDescent="0.25">
      <c r="A23" s="2" t="s">
        <v>144</v>
      </c>
      <c r="B23" s="21">
        <v>440</v>
      </c>
      <c r="C23" s="21">
        <v>1409</v>
      </c>
      <c r="D23" s="2">
        <v>6</v>
      </c>
      <c r="E23" s="2">
        <v>6</v>
      </c>
      <c r="F23" s="21">
        <f>(22*M2)+(5*N2)</f>
        <v>8070</v>
      </c>
      <c r="G23" s="25">
        <f t="shared" si="2"/>
        <v>1.1093999999999999</v>
      </c>
      <c r="H23" s="25">
        <f t="shared" si="3"/>
        <v>1.9163999999999999</v>
      </c>
      <c r="I23" s="10">
        <v>25</v>
      </c>
      <c r="K23" s="11">
        <v>61</v>
      </c>
    </row>
    <row r="24" spans="1:11" x14ac:dyDescent="0.25">
      <c r="A24" s="2" t="s">
        <v>65</v>
      </c>
      <c r="B24" s="21"/>
      <c r="C24" s="21">
        <f>450+19</f>
        <v>469</v>
      </c>
      <c r="D24" s="2"/>
      <c r="E24" s="2">
        <v>6</v>
      </c>
      <c r="F24" s="21">
        <f t="shared" ref="F24:F36" si="5">I24*$M$2</f>
        <v>1040</v>
      </c>
      <c r="G24" s="25">
        <f t="shared" si="2"/>
        <v>0.28139999999999998</v>
      </c>
      <c r="H24" s="25">
        <f t="shared" si="3"/>
        <v>0.38539999999999996</v>
      </c>
      <c r="I24" s="10">
        <v>4</v>
      </c>
      <c r="K24" s="11">
        <v>64</v>
      </c>
    </row>
    <row r="25" spans="1:11" x14ac:dyDescent="0.25">
      <c r="A25" s="2" t="s">
        <v>66</v>
      </c>
      <c r="B25" s="21"/>
      <c r="C25" s="21">
        <v>289</v>
      </c>
      <c r="D25" s="2"/>
      <c r="E25" s="2">
        <v>6</v>
      </c>
      <c r="F25" s="21">
        <f t="shared" si="5"/>
        <v>780</v>
      </c>
      <c r="G25" s="25">
        <f t="shared" si="2"/>
        <v>0.1734</v>
      </c>
      <c r="H25" s="25">
        <f t="shared" si="3"/>
        <v>0.25140000000000001</v>
      </c>
      <c r="I25" s="10">
        <v>3</v>
      </c>
      <c r="K25" s="11">
        <v>137</v>
      </c>
    </row>
    <row r="26" spans="1:11" s="53" customFormat="1" x14ac:dyDescent="0.25">
      <c r="A26" s="4" t="s">
        <v>67</v>
      </c>
      <c r="B26" s="17">
        <f>907+423</f>
        <v>1330</v>
      </c>
      <c r="C26" s="17">
        <v>1287</v>
      </c>
      <c r="D26" s="4">
        <v>6</v>
      </c>
      <c r="E26" s="4">
        <v>6</v>
      </c>
      <c r="F26" s="17">
        <f t="shared" si="5"/>
        <v>7020</v>
      </c>
      <c r="G26" s="50">
        <f>(((B26+C26)*6)/10000)+1.01</f>
        <v>2.5802</v>
      </c>
      <c r="H26" s="50">
        <f t="shared" si="3"/>
        <v>3.2822</v>
      </c>
      <c r="I26" s="51">
        <v>27</v>
      </c>
      <c r="J26" s="52"/>
      <c r="K26" s="53">
        <v>58</v>
      </c>
    </row>
    <row r="27" spans="1:11" x14ac:dyDescent="0.25">
      <c r="A27" s="2" t="s">
        <v>218</v>
      </c>
      <c r="B27" s="21">
        <v>581</v>
      </c>
      <c r="C27" s="21"/>
      <c r="D27" s="2">
        <v>6</v>
      </c>
      <c r="E27" s="2"/>
      <c r="F27" s="21">
        <f t="shared" si="5"/>
        <v>1820</v>
      </c>
      <c r="G27" s="25">
        <f t="shared" si="2"/>
        <v>0.34860000000000002</v>
      </c>
      <c r="H27" s="25">
        <f t="shared" si="3"/>
        <v>0.53059999999999996</v>
      </c>
      <c r="I27" s="10">
        <v>7</v>
      </c>
      <c r="K27" s="11">
        <v>163</v>
      </c>
    </row>
    <row r="28" spans="1:11" x14ac:dyDescent="0.25">
      <c r="A28" s="2" t="s">
        <v>68</v>
      </c>
      <c r="B28" s="21"/>
      <c r="C28" s="21">
        <f>272+39</f>
        <v>311</v>
      </c>
      <c r="D28" s="2"/>
      <c r="E28" s="2">
        <v>6</v>
      </c>
      <c r="F28" s="21">
        <f t="shared" si="5"/>
        <v>1300</v>
      </c>
      <c r="G28" s="25">
        <f t="shared" si="2"/>
        <v>0.18659999999999999</v>
      </c>
      <c r="H28" s="25">
        <f t="shared" si="3"/>
        <v>0.31659999999999999</v>
      </c>
      <c r="I28" s="10">
        <v>5</v>
      </c>
      <c r="K28" s="11">
        <v>258</v>
      </c>
    </row>
    <row r="29" spans="1:11" x14ac:dyDescent="0.25">
      <c r="A29" s="2" t="s">
        <v>69</v>
      </c>
      <c r="B29" s="21"/>
      <c r="C29" s="21">
        <v>604</v>
      </c>
      <c r="D29" s="2"/>
      <c r="E29" s="2">
        <v>6</v>
      </c>
      <c r="F29" s="21">
        <f t="shared" si="5"/>
        <v>1560</v>
      </c>
      <c r="G29" s="25">
        <f t="shared" si="2"/>
        <v>0.3624</v>
      </c>
      <c r="H29" s="25">
        <f t="shared" si="3"/>
        <v>0.51839999999999997</v>
      </c>
      <c r="I29" s="10">
        <v>6</v>
      </c>
    </row>
    <row r="30" spans="1:11" x14ac:dyDescent="0.25">
      <c r="A30" s="2" t="s">
        <v>70</v>
      </c>
      <c r="B30" s="21"/>
      <c r="C30" s="21">
        <v>1165</v>
      </c>
      <c r="D30" s="2"/>
      <c r="E30" s="2">
        <v>6</v>
      </c>
      <c r="F30" s="21">
        <f t="shared" si="5"/>
        <v>2860</v>
      </c>
      <c r="G30" s="25">
        <f t="shared" si="2"/>
        <v>0.69899999999999995</v>
      </c>
      <c r="H30" s="25">
        <f t="shared" si="3"/>
        <v>0.98499999999999988</v>
      </c>
      <c r="I30" s="10">
        <v>11</v>
      </c>
    </row>
    <row r="31" spans="1:11" x14ac:dyDescent="0.25">
      <c r="A31" s="2" t="s">
        <v>207</v>
      </c>
      <c r="B31" s="21">
        <v>1092</v>
      </c>
      <c r="C31" s="21"/>
      <c r="D31" s="2">
        <v>6</v>
      </c>
      <c r="E31" s="2"/>
      <c r="F31" s="21">
        <f t="shared" si="5"/>
        <v>3120</v>
      </c>
      <c r="G31" s="25">
        <f t="shared" si="2"/>
        <v>0.6552</v>
      </c>
      <c r="H31" s="25">
        <f t="shared" si="3"/>
        <v>0.96720000000000006</v>
      </c>
      <c r="I31" s="10">
        <v>12</v>
      </c>
    </row>
    <row r="32" spans="1:11" x14ac:dyDescent="0.25">
      <c r="A32" s="2" t="s">
        <v>208</v>
      </c>
      <c r="B32" s="21">
        <v>97</v>
      </c>
      <c r="C32" s="21">
        <f>524+13</f>
        <v>537</v>
      </c>
      <c r="D32" s="2">
        <v>6</v>
      </c>
      <c r="E32" s="2">
        <v>6</v>
      </c>
      <c r="F32" s="21">
        <f t="shared" si="5"/>
        <v>780</v>
      </c>
      <c r="G32" s="25">
        <f t="shared" si="2"/>
        <v>0.38040000000000002</v>
      </c>
      <c r="H32" s="25">
        <f t="shared" si="3"/>
        <v>0.45840000000000003</v>
      </c>
      <c r="I32" s="10">
        <v>3</v>
      </c>
    </row>
    <row r="33" spans="1:9" x14ac:dyDescent="0.25">
      <c r="A33" s="2" t="s">
        <v>210</v>
      </c>
      <c r="B33" s="21"/>
      <c r="C33" s="21">
        <v>131</v>
      </c>
      <c r="D33" s="2"/>
      <c r="E33" s="2">
        <v>6</v>
      </c>
      <c r="F33" s="21">
        <f t="shared" si="5"/>
        <v>520</v>
      </c>
      <c r="G33" s="25">
        <f t="shared" si="2"/>
        <v>7.8600000000000003E-2</v>
      </c>
      <c r="H33" s="25">
        <f t="shared" si="3"/>
        <v>0.13059999999999999</v>
      </c>
      <c r="I33" s="10">
        <v>2</v>
      </c>
    </row>
    <row r="34" spans="1:9" x14ac:dyDescent="0.25">
      <c r="A34" s="2" t="s">
        <v>72</v>
      </c>
      <c r="B34" s="21"/>
      <c r="C34" s="21">
        <v>70</v>
      </c>
      <c r="D34" s="2"/>
      <c r="E34" s="2">
        <v>6</v>
      </c>
      <c r="F34" s="21">
        <f t="shared" si="5"/>
        <v>260</v>
      </c>
      <c r="G34" s="25">
        <f t="shared" si="2"/>
        <v>4.2000000000000003E-2</v>
      </c>
      <c r="H34" s="25">
        <f t="shared" si="3"/>
        <v>6.8000000000000005E-2</v>
      </c>
      <c r="I34" s="10">
        <v>1</v>
      </c>
    </row>
    <row r="35" spans="1:9" x14ac:dyDescent="0.25">
      <c r="A35" s="2" t="s">
        <v>73</v>
      </c>
      <c r="B35" s="21">
        <f>1089+21</f>
        <v>1110</v>
      </c>
      <c r="C35" s="21"/>
      <c r="D35" s="2">
        <v>6</v>
      </c>
      <c r="E35" s="2"/>
      <c r="F35" s="21">
        <f t="shared" si="5"/>
        <v>3120</v>
      </c>
      <c r="G35" s="25">
        <f t="shared" si="2"/>
        <v>0.66600000000000004</v>
      </c>
      <c r="H35" s="25">
        <f t="shared" si="3"/>
        <v>0.97799999999999998</v>
      </c>
      <c r="I35" s="10">
        <v>12</v>
      </c>
    </row>
    <row r="36" spans="1:9" x14ac:dyDescent="0.25">
      <c r="A36" s="2" t="s">
        <v>74</v>
      </c>
      <c r="B36" s="21"/>
      <c r="C36" s="21">
        <v>116</v>
      </c>
      <c r="D36" s="2"/>
      <c r="E36" s="2">
        <v>6</v>
      </c>
      <c r="F36" s="21">
        <f t="shared" si="5"/>
        <v>520</v>
      </c>
      <c r="G36" s="25">
        <f t="shared" si="2"/>
        <v>6.9599999999999995E-2</v>
      </c>
      <c r="H36" s="25">
        <f t="shared" si="3"/>
        <v>0.12159999999999999</v>
      </c>
      <c r="I36" s="10">
        <v>2</v>
      </c>
    </row>
    <row r="37" spans="1:9" x14ac:dyDescent="0.25">
      <c r="A37" s="2" t="s">
        <v>75</v>
      </c>
      <c r="B37" s="21">
        <v>918</v>
      </c>
      <c r="C37" s="21"/>
      <c r="D37" s="2">
        <v>6</v>
      </c>
      <c r="E37" s="2"/>
      <c r="F37" s="21">
        <f>I37*O2</f>
        <v>8460</v>
      </c>
      <c r="G37" s="25">
        <f t="shared" si="2"/>
        <v>0.55079999999999996</v>
      </c>
      <c r="H37" s="25">
        <f t="shared" si="3"/>
        <v>1.3967999999999998</v>
      </c>
      <c r="I37" s="10">
        <v>18</v>
      </c>
    </row>
    <row r="38" spans="1:9" x14ac:dyDescent="0.25">
      <c r="A38" s="2" t="s">
        <v>76</v>
      </c>
      <c r="B38" s="21">
        <v>297</v>
      </c>
      <c r="C38" s="21"/>
      <c r="D38" s="2">
        <v>6</v>
      </c>
      <c r="E38" s="2"/>
      <c r="F38" s="21">
        <f t="shared" ref="F38:F49" si="6">I38*$M$2</f>
        <v>1820</v>
      </c>
      <c r="G38" s="25">
        <f t="shared" si="2"/>
        <v>0.1782</v>
      </c>
      <c r="H38" s="25">
        <f t="shared" si="3"/>
        <v>0.36019999999999996</v>
      </c>
      <c r="I38" s="10">
        <v>7</v>
      </c>
    </row>
    <row r="39" spans="1:9" x14ac:dyDescent="0.25">
      <c r="A39" s="2" t="s">
        <v>77</v>
      </c>
      <c r="B39" s="21"/>
      <c r="C39" s="21">
        <v>287</v>
      </c>
      <c r="D39" s="2"/>
      <c r="E39" s="2">
        <v>6</v>
      </c>
      <c r="F39" s="21">
        <f t="shared" si="6"/>
        <v>1820</v>
      </c>
      <c r="G39" s="25">
        <f t="shared" si="2"/>
        <v>0.17219999999999999</v>
      </c>
      <c r="H39" s="25">
        <f t="shared" si="3"/>
        <v>0.35419999999999996</v>
      </c>
      <c r="I39" s="10">
        <v>7</v>
      </c>
    </row>
    <row r="40" spans="1:9" x14ac:dyDescent="0.25">
      <c r="A40" s="2" t="s">
        <v>78</v>
      </c>
      <c r="B40" s="21">
        <f>270+138</f>
        <v>408</v>
      </c>
      <c r="C40" s="21"/>
      <c r="D40" s="2">
        <v>6</v>
      </c>
      <c r="E40" s="2"/>
      <c r="F40" s="21">
        <f t="shared" si="6"/>
        <v>2340</v>
      </c>
      <c r="G40" s="25">
        <f t="shared" si="2"/>
        <v>0.24479999999999999</v>
      </c>
      <c r="H40" s="25">
        <f t="shared" si="3"/>
        <v>0.4788</v>
      </c>
      <c r="I40" s="10">
        <v>9</v>
      </c>
    </row>
    <row r="41" spans="1:9" x14ac:dyDescent="0.25">
      <c r="A41" s="2" t="s">
        <v>79</v>
      </c>
      <c r="B41" s="21"/>
      <c r="C41" s="21">
        <v>45</v>
      </c>
      <c r="D41" s="2"/>
      <c r="E41" s="2">
        <v>6</v>
      </c>
      <c r="F41" s="21">
        <f t="shared" si="6"/>
        <v>520</v>
      </c>
      <c r="G41" s="25">
        <f t="shared" si="2"/>
        <v>2.7E-2</v>
      </c>
      <c r="H41" s="25">
        <f t="shared" si="3"/>
        <v>7.9000000000000001E-2</v>
      </c>
      <c r="I41" s="10">
        <v>2</v>
      </c>
    </row>
    <row r="42" spans="1:9" x14ac:dyDescent="0.25">
      <c r="A42" s="2" t="s">
        <v>81</v>
      </c>
      <c r="B42" s="21"/>
      <c r="C42" s="21">
        <v>129</v>
      </c>
      <c r="D42" s="2"/>
      <c r="E42" s="2">
        <v>6</v>
      </c>
      <c r="F42" s="21">
        <f t="shared" si="6"/>
        <v>1040</v>
      </c>
      <c r="G42" s="25">
        <f t="shared" si="2"/>
        <v>7.7399999999999997E-2</v>
      </c>
      <c r="H42" s="25">
        <f t="shared" si="3"/>
        <v>0.18140000000000001</v>
      </c>
      <c r="I42" s="10">
        <v>4</v>
      </c>
    </row>
    <row r="43" spans="1:9" x14ac:dyDescent="0.25">
      <c r="A43" s="2" t="s">
        <v>85</v>
      </c>
      <c r="B43" s="21"/>
      <c r="C43" s="21">
        <v>1474</v>
      </c>
      <c r="D43" s="2"/>
      <c r="E43" s="2">
        <v>6</v>
      </c>
      <c r="F43" s="21">
        <f t="shared" si="6"/>
        <v>5460</v>
      </c>
      <c r="G43" s="25">
        <f t="shared" si="2"/>
        <v>0.88439999999999996</v>
      </c>
      <c r="H43" s="25">
        <f t="shared" si="3"/>
        <v>1.4304000000000001</v>
      </c>
      <c r="I43" s="10">
        <v>21</v>
      </c>
    </row>
    <row r="44" spans="1:9" x14ac:dyDescent="0.25">
      <c r="A44" s="2" t="s">
        <v>86</v>
      </c>
      <c r="B44" s="21">
        <v>308</v>
      </c>
      <c r="C44" s="21"/>
      <c r="D44" s="2">
        <v>6</v>
      </c>
      <c r="E44" s="2"/>
      <c r="F44" s="21">
        <f t="shared" si="6"/>
        <v>780</v>
      </c>
      <c r="G44" s="25">
        <f t="shared" si="2"/>
        <v>0.18479999999999999</v>
      </c>
      <c r="H44" s="25">
        <f t="shared" si="3"/>
        <v>0.26279999999999998</v>
      </c>
      <c r="I44" s="10">
        <v>3</v>
      </c>
    </row>
    <row r="45" spans="1:9" x14ac:dyDescent="0.25">
      <c r="A45" s="2" t="s">
        <v>88</v>
      </c>
      <c r="B45" s="21">
        <f>536+673</f>
        <v>1209</v>
      </c>
      <c r="C45" s="21">
        <f>328+582</f>
        <v>910</v>
      </c>
      <c r="D45" s="2">
        <v>6</v>
      </c>
      <c r="E45" s="2">
        <v>6</v>
      </c>
      <c r="F45" s="21">
        <f t="shared" si="6"/>
        <v>8060</v>
      </c>
      <c r="G45" s="25">
        <f t="shared" si="2"/>
        <v>1.2714000000000001</v>
      </c>
      <c r="H45" s="25">
        <f t="shared" si="3"/>
        <v>2.0773999999999999</v>
      </c>
      <c r="I45" s="10">
        <v>31</v>
      </c>
    </row>
    <row r="46" spans="1:9" x14ac:dyDescent="0.25">
      <c r="A46" s="2" t="s">
        <v>89</v>
      </c>
      <c r="B46" s="21"/>
      <c r="C46" s="21">
        <v>1511</v>
      </c>
      <c r="D46" s="2"/>
      <c r="E46" s="2">
        <v>6</v>
      </c>
      <c r="F46" s="21">
        <f t="shared" si="6"/>
        <v>4680</v>
      </c>
      <c r="G46" s="25">
        <f t="shared" si="2"/>
        <v>0.90659999999999996</v>
      </c>
      <c r="H46" s="25">
        <f t="shared" si="3"/>
        <v>1.3746</v>
      </c>
      <c r="I46" s="10">
        <v>18</v>
      </c>
    </row>
    <row r="47" spans="1:9" x14ac:dyDescent="0.25">
      <c r="A47" s="2" t="s">
        <v>90</v>
      </c>
      <c r="B47" s="21"/>
      <c r="C47" s="21">
        <v>26</v>
      </c>
      <c r="D47" s="2"/>
      <c r="E47" s="2">
        <v>6</v>
      </c>
      <c r="F47" s="21">
        <f t="shared" si="6"/>
        <v>260</v>
      </c>
      <c r="G47" s="25">
        <f t="shared" si="2"/>
        <v>1.5599999999999999E-2</v>
      </c>
      <c r="H47" s="25">
        <f t="shared" si="3"/>
        <v>4.1599999999999998E-2</v>
      </c>
      <c r="I47" s="10">
        <v>1</v>
      </c>
    </row>
    <row r="48" spans="1:9" x14ac:dyDescent="0.25">
      <c r="A48" s="2" t="s">
        <v>92</v>
      </c>
      <c r="B48" s="21">
        <v>925</v>
      </c>
      <c r="C48" s="21"/>
      <c r="D48" s="2">
        <v>6</v>
      </c>
      <c r="E48" s="2"/>
      <c r="F48" s="21">
        <f t="shared" si="6"/>
        <v>2860</v>
      </c>
      <c r="G48" s="25">
        <f t="shared" si="2"/>
        <v>0.55500000000000005</v>
      </c>
      <c r="H48" s="25">
        <f t="shared" si="3"/>
        <v>0.84099999999999997</v>
      </c>
      <c r="I48" s="10">
        <v>11</v>
      </c>
    </row>
    <row r="49" spans="1:9" x14ac:dyDescent="0.25">
      <c r="A49" s="2" t="s">
        <v>93</v>
      </c>
      <c r="B49" s="21">
        <v>1154</v>
      </c>
      <c r="C49" s="21"/>
      <c r="D49" s="2">
        <v>6</v>
      </c>
      <c r="E49" s="2"/>
      <c r="F49" s="21">
        <f t="shared" si="6"/>
        <v>2340</v>
      </c>
      <c r="G49" s="25">
        <f t="shared" si="2"/>
        <v>0.69240000000000002</v>
      </c>
      <c r="H49" s="25">
        <f t="shared" si="3"/>
        <v>0.9264</v>
      </c>
      <c r="I49" s="10">
        <v>9</v>
      </c>
    </row>
    <row r="50" spans="1:9" x14ac:dyDescent="0.25">
      <c r="A50" s="2" t="s">
        <v>220</v>
      </c>
      <c r="B50" s="60">
        <f>SUM(K3:K28)</f>
        <v>3277</v>
      </c>
      <c r="C50" s="60"/>
      <c r="D50" s="56">
        <v>6</v>
      </c>
      <c r="E50" s="56"/>
      <c r="F50" s="2"/>
      <c r="G50" s="25">
        <f t="shared" ref="G50" si="7">((B50+C50)*6)/10000</f>
        <v>1.9661999999999999</v>
      </c>
      <c r="H50" s="25">
        <f t="shared" ref="H50" si="8">G50+(F50/10000)</f>
        <v>1.9661999999999999</v>
      </c>
    </row>
    <row r="51" spans="1:9" x14ac:dyDescent="0.25">
      <c r="A51" s="28" t="s">
        <v>5</v>
      </c>
      <c r="B51" s="72">
        <f>SUM(B3:C49)</f>
        <v>33600</v>
      </c>
      <c r="C51" s="72"/>
      <c r="D51" s="29"/>
      <c r="E51" s="29"/>
      <c r="F51" s="29"/>
      <c r="G51" s="40">
        <f>SUM(G3:G49)-G5</f>
        <v>20.220799999999997</v>
      </c>
      <c r="H51" s="40">
        <f>SUM(H3:H49)-H5</f>
        <v>31.178800000000003</v>
      </c>
    </row>
  </sheetData>
  <mergeCells count="9">
    <mergeCell ref="B51:C51"/>
    <mergeCell ref="A1:A2"/>
    <mergeCell ref="D1:E1"/>
    <mergeCell ref="B1:C1"/>
    <mergeCell ref="H1:H2"/>
    <mergeCell ref="G1:G2"/>
    <mergeCell ref="F1:F2"/>
    <mergeCell ref="B50:C50"/>
    <mergeCell ref="D50:E50"/>
  </mergeCells>
  <pageMargins left="0.7" right="0.7" top="0.75" bottom="0.75" header="0.3" footer="0.3"/>
  <pageSetup paperSize="9" orientation="portrait" verticalDpi="0" r:id="rId1"/>
  <ignoredErrors>
    <ignoredError sqref="F20 F9 F37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44A3B5-2515-4992-8BB9-9E3C1362BE4A}">
  <dimension ref="A1:K27"/>
  <sheetViews>
    <sheetView zoomScale="85" zoomScaleNormal="85" workbookViewId="0">
      <selection activeCell="H22" sqref="H22"/>
    </sheetView>
  </sheetViews>
  <sheetFormatPr defaultColWidth="9.140625" defaultRowHeight="15.75" x14ac:dyDescent="0.25"/>
  <cols>
    <col min="1" max="1" width="12.140625" style="3" bestFit="1" customWidth="1"/>
    <col min="2" max="2" width="44.7109375" style="3" bestFit="1" customWidth="1"/>
    <col min="3" max="3" width="18.42578125" style="3" bestFit="1" customWidth="1"/>
    <col min="4" max="4" width="13.42578125" style="3" bestFit="1" customWidth="1"/>
    <col min="5" max="5" width="10.7109375" style="3" customWidth="1"/>
    <col min="6" max="6" width="9.140625" style="3"/>
    <col min="7" max="7" width="13" style="3" bestFit="1" customWidth="1"/>
    <col min="8" max="8" width="15.28515625" style="3" bestFit="1" customWidth="1"/>
    <col min="9" max="9" width="17.42578125" style="3" customWidth="1"/>
    <col min="10" max="10" width="6.42578125" style="3" bestFit="1" customWidth="1"/>
    <col min="11" max="11" width="13.42578125" style="3" bestFit="1" customWidth="1"/>
    <col min="12" max="12" width="9.140625" style="3"/>
    <col min="13" max="13" width="13" style="3" bestFit="1" customWidth="1"/>
    <col min="14" max="14" width="13.140625" style="3" bestFit="1" customWidth="1"/>
    <col min="15" max="15" width="21" style="3" bestFit="1" customWidth="1"/>
    <col min="16" max="17" width="12.85546875" style="3" bestFit="1" customWidth="1"/>
    <col min="18" max="16384" width="9.140625" style="3"/>
  </cols>
  <sheetData>
    <row r="1" spans="1:11" x14ac:dyDescent="0.25">
      <c r="A1" s="61" t="s">
        <v>110</v>
      </c>
      <c r="B1" s="61" t="s">
        <v>111</v>
      </c>
      <c r="C1" s="57" t="s">
        <v>112</v>
      </c>
      <c r="D1" s="5" t="s">
        <v>113</v>
      </c>
    </row>
    <row r="2" spans="1:11" ht="18.75" x14ac:dyDescent="0.25">
      <c r="A2" s="61"/>
      <c r="B2" s="61"/>
      <c r="C2" s="57"/>
      <c r="D2" s="13" t="s">
        <v>114</v>
      </c>
    </row>
    <row r="3" spans="1:11" x14ac:dyDescent="0.25">
      <c r="A3" s="2" t="s">
        <v>115</v>
      </c>
      <c r="B3" s="2" t="s">
        <v>215</v>
      </c>
      <c r="C3" s="2">
        <v>1</v>
      </c>
      <c r="D3" s="12">
        <v>9</v>
      </c>
    </row>
    <row r="4" spans="1:11" x14ac:dyDescent="0.25">
      <c r="A4" s="2" t="s">
        <v>116</v>
      </c>
      <c r="B4" s="2" t="s">
        <v>215</v>
      </c>
      <c r="C4" s="2">
        <v>1</v>
      </c>
      <c r="D4" s="9">
        <v>26</v>
      </c>
    </row>
    <row r="5" spans="1:11" x14ac:dyDescent="0.25">
      <c r="A5" s="2" t="s">
        <v>117</v>
      </c>
      <c r="B5" s="9" t="s">
        <v>216</v>
      </c>
      <c r="C5" s="2">
        <v>1</v>
      </c>
      <c r="D5" s="9">
        <v>26</v>
      </c>
    </row>
    <row r="8" spans="1:11" ht="18.75" x14ac:dyDescent="0.25">
      <c r="A8" s="8"/>
      <c r="B8" s="4" t="s">
        <v>118</v>
      </c>
      <c r="C8" s="13" t="s">
        <v>145</v>
      </c>
    </row>
    <row r="9" spans="1:11" x14ac:dyDescent="0.25">
      <c r="A9" s="2" t="s">
        <v>115</v>
      </c>
      <c r="B9" s="9">
        <v>384</v>
      </c>
      <c r="C9" s="20">
        <f>B9*D3</f>
        <v>3456</v>
      </c>
    </row>
    <row r="10" spans="1:11" x14ac:dyDescent="0.25">
      <c r="A10" s="2" t="s">
        <v>116</v>
      </c>
      <c r="B10" s="9">
        <v>12</v>
      </c>
      <c r="C10" s="20">
        <f>B10*D4</f>
        <v>312</v>
      </c>
    </row>
    <row r="11" spans="1:11" x14ac:dyDescent="0.25">
      <c r="A11" s="2" t="s">
        <v>117</v>
      </c>
      <c r="B11" s="9">
        <v>21</v>
      </c>
      <c r="C11" s="20">
        <f>B11*D5</f>
        <v>546</v>
      </c>
    </row>
    <row r="12" spans="1:11" x14ac:dyDescent="0.25">
      <c r="A12" s="4" t="s">
        <v>5</v>
      </c>
      <c r="B12" s="37">
        <f>SUM(B9:B11)</f>
        <v>417</v>
      </c>
      <c r="C12" s="17">
        <f>SUM(C9:C11)</f>
        <v>4314</v>
      </c>
    </row>
    <row r="15" spans="1:11" x14ac:dyDescent="0.25">
      <c r="A15" s="5" t="s">
        <v>110</v>
      </c>
      <c r="B15" s="5" t="s">
        <v>113</v>
      </c>
      <c r="C15" s="5" t="s">
        <v>119</v>
      </c>
      <c r="D15" s="5" t="s">
        <v>120</v>
      </c>
    </row>
    <row r="16" spans="1:11" x14ac:dyDescent="0.25">
      <c r="A16" s="69" t="s">
        <v>115</v>
      </c>
      <c r="B16" s="69" t="s">
        <v>121</v>
      </c>
      <c r="C16" s="1" t="s">
        <v>122</v>
      </c>
      <c r="D16" s="15">
        <f>B9-D26</f>
        <v>369</v>
      </c>
      <c r="K16" s="14"/>
    </row>
    <row r="17" spans="1:4" ht="18.75" x14ac:dyDescent="0.25">
      <c r="A17" s="70"/>
      <c r="B17" s="70"/>
      <c r="C17" s="1" t="s">
        <v>123</v>
      </c>
      <c r="D17" s="15">
        <f>D16*D3</f>
        <v>3321</v>
      </c>
    </row>
    <row r="18" spans="1:4" x14ac:dyDescent="0.25">
      <c r="A18" s="69" t="s">
        <v>116</v>
      </c>
      <c r="B18" s="69" t="s">
        <v>121</v>
      </c>
      <c r="C18" s="1" t="s">
        <v>122</v>
      </c>
      <c r="D18" s="15">
        <f>B10</f>
        <v>12</v>
      </c>
    </row>
    <row r="19" spans="1:4" ht="18.75" x14ac:dyDescent="0.25">
      <c r="A19" s="70"/>
      <c r="B19" s="70"/>
      <c r="C19" s="1" t="s">
        <v>123</v>
      </c>
      <c r="D19" s="15">
        <f>C10</f>
        <v>312</v>
      </c>
    </row>
    <row r="20" spans="1:4" x14ac:dyDescent="0.25">
      <c r="A20" s="69" t="s">
        <v>117</v>
      </c>
      <c r="B20" s="69" t="s">
        <v>121</v>
      </c>
      <c r="C20" s="1" t="s">
        <v>122</v>
      </c>
      <c r="D20" s="15">
        <f>B11</f>
        <v>21</v>
      </c>
    </row>
    <row r="21" spans="1:4" ht="18.75" x14ac:dyDescent="0.25">
      <c r="A21" s="70"/>
      <c r="B21" s="70"/>
      <c r="C21" s="1" t="s">
        <v>123</v>
      </c>
      <c r="D21" s="15">
        <f>C11</f>
        <v>546</v>
      </c>
    </row>
    <row r="22" spans="1:4" x14ac:dyDescent="0.25">
      <c r="A22" s="63" t="s">
        <v>5</v>
      </c>
      <c r="B22" s="64" t="s">
        <v>121</v>
      </c>
      <c r="C22" s="4" t="s">
        <v>122</v>
      </c>
      <c r="D22" s="17">
        <f>SUM(D16,D18,D20)</f>
        <v>402</v>
      </c>
    </row>
    <row r="23" spans="1:4" ht="18.75" customHeight="1" x14ac:dyDescent="0.25">
      <c r="A23" s="59"/>
      <c r="B23" s="73"/>
      <c r="C23" s="5" t="s">
        <v>228</v>
      </c>
      <c r="D23" s="17">
        <f>SUM(D17,D19,D21)</f>
        <v>4179</v>
      </c>
    </row>
    <row r="25" spans="1:4" x14ac:dyDescent="0.25">
      <c r="A25" s="5" t="s">
        <v>110</v>
      </c>
      <c r="B25" s="5" t="s">
        <v>113</v>
      </c>
      <c r="C25" s="5" t="s">
        <v>119</v>
      </c>
      <c r="D25" s="5" t="s">
        <v>120</v>
      </c>
    </row>
    <row r="26" spans="1:4" x14ac:dyDescent="0.25">
      <c r="A26" s="69" t="s">
        <v>115</v>
      </c>
      <c r="B26" s="69" t="s">
        <v>121</v>
      </c>
      <c r="C26" s="1" t="s">
        <v>122</v>
      </c>
      <c r="D26" s="15">
        <v>15</v>
      </c>
    </row>
    <row r="27" spans="1:4" ht="18.75" x14ac:dyDescent="0.25">
      <c r="A27" s="70"/>
      <c r="B27" s="70"/>
      <c r="C27" s="1" t="s">
        <v>123</v>
      </c>
      <c r="D27" s="15">
        <f>D26*D3</f>
        <v>135</v>
      </c>
    </row>
  </sheetData>
  <mergeCells count="13">
    <mergeCell ref="A26:A27"/>
    <mergeCell ref="B26:B27"/>
    <mergeCell ref="B22:B23"/>
    <mergeCell ref="A22:A23"/>
    <mergeCell ref="C1:C2"/>
    <mergeCell ref="B1:B2"/>
    <mergeCell ref="A1:A2"/>
    <mergeCell ref="A18:A19"/>
    <mergeCell ref="B18:B19"/>
    <mergeCell ref="B16:B17"/>
    <mergeCell ref="A16:A17"/>
    <mergeCell ref="B20:B21"/>
    <mergeCell ref="A20:A21"/>
  </mergeCells>
  <phoneticPr fontId="4" type="noConversion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F16CCE-0659-4F4A-BA3A-7EA8F81A2291}">
  <dimension ref="A1:D18"/>
  <sheetViews>
    <sheetView workbookViewId="0">
      <selection activeCell="C8" sqref="C8"/>
    </sheetView>
  </sheetViews>
  <sheetFormatPr defaultRowHeight="15" x14ac:dyDescent="0.25"/>
  <cols>
    <col min="1" max="1" width="15.7109375" bestFit="1" customWidth="1"/>
    <col min="2" max="2" width="21.42578125" bestFit="1" customWidth="1"/>
    <col min="3" max="3" width="26.42578125" bestFit="1" customWidth="1"/>
  </cols>
  <sheetData>
    <row r="1" spans="1:4" ht="15.75" x14ac:dyDescent="0.25">
      <c r="A1" s="5" t="s">
        <v>0</v>
      </c>
      <c r="B1" s="5" t="s">
        <v>1</v>
      </c>
      <c r="C1" s="5" t="s">
        <v>234</v>
      </c>
    </row>
    <row r="2" spans="1:4" ht="15.75" x14ac:dyDescent="0.25">
      <c r="A2" s="42" t="s">
        <v>158</v>
      </c>
      <c r="B2" s="42" t="s">
        <v>159</v>
      </c>
      <c r="C2" s="42">
        <v>5.73</v>
      </c>
      <c r="D2" s="47" t="s">
        <v>235</v>
      </c>
    </row>
    <row r="3" spans="1:4" ht="31.5" x14ac:dyDescent="0.25">
      <c r="A3" s="1" t="s">
        <v>176</v>
      </c>
      <c r="B3" s="1" t="s">
        <v>177</v>
      </c>
      <c r="C3" s="1">
        <v>13.65</v>
      </c>
      <c r="D3" s="46" t="s">
        <v>236</v>
      </c>
    </row>
    <row r="4" spans="1:4" ht="15.75" x14ac:dyDescent="0.25">
      <c r="A4" s="42" t="s">
        <v>160</v>
      </c>
      <c r="B4" s="42" t="s">
        <v>161</v>
      </c>
      <c r="C4" s="42">
        <v>12.26</v>
      </c>
      <c r="D4" s="47" t="s">
        <v>235</v>
      </c>
    </row>
    <row r="5" spans="1:4" ht="15.75" x14ac:dyDescent="0.25">
      <c r="A5" s="1" t="s">
        <v>178</v>
      </c>
      <c r="B5" s="1" t="s">
        <v>179</v>
      </c>
      <c r="C5" s="1">
        <v>73.08</v>
      </c>
      <c r="D5" s="46" t="s">
        <v>236</v>
      </c>
    </row>
    <row r="6" spans="1:4" ht="15.75" x14ac:dyDescent="0.25">
      <c r="A6" s="1" t="s">
        <v>180</v>
      </c>
      <c r="B6" s="1" t="s">
        <v>181</v>
      </c>
      <c r="C6" s="1">
        <v>26.67</v>
      </c>
      <c r="D6" s="46" t="s">
        <v>236</v>
      </c>
    </row>
    <row r="7" spans="1:4" ht="15.75" x14ac:dyDescent="0.25">
      <c r="A7" s="1" t="s">
        <v>162</v>
      </c>
      <c r="B7" s="1" t="s">
        <v>163</v>
      </c>
      <c r="C7" s="1">
        <v>20.059999999999999</v>
      </c>
      <c r="D7" s="47" t="s">
        <v>235</v>
      </c>
    </row>
    <row r="8" spans="1:4" ht="15.75" x14ac:dyDescent="0.25">
      <c r="A8" s="42" t="s">
        <v>164</v>
      </c>
      <c r="B8" s="42" t="s">
        <v>165</v>
      </c>
      <c r="C8" s="54" t="s">
        <v>237</v>
      </c>
      <c r="D8" s="47" t="s">
        <v>235</v>
      </c>
    </row>
    <row r="9" spans="1:4" ht="15.75" x14ac:dyDescent="0.25">
      <c r="A9" s="42" t="s">
        <v>166</v>
      </c>
      <c r="B9" s="42" t="s">
        <v>167</v>
      </c>
      <c r="C9" s="42">
        <v>3.7</v>
      </c>
      <c r="D9" s="47" t="s">
        <v>235</v>
      </c>
    </row>
    <row r="10" spans="1:4" ht="15.75" x14ac:dyDescent="0.25">
      <c r="A10" s="42" t="s">
        <v>168</v>
      </c>
      <c r="B10" s="42" t="s">
        <v>169</v>
      </c>
      <c r="C10" s="42">
        <v>4.2</v>
      </c>
      <c r="D10" s="47" t="s">
        <v>235</v>
      </c>
    </row>
    <row r="11" spans="1:4" ht="15.75" x14ac:dyDescent="0.25">
      <c r="A11" s="42" t="s">
        <v>182</v>
      </c>
      <c r="B11" s="42" t="s">
        <v>183</v>
      </c>
      <c r="C11" s="42">
        <v>5.71</v>
      </c>
      <c r="D11" s="46" t="s">
        <v>236</v>
      </c>
    </row>
    <row r="12" spans="1:4" ht="15.75" x14ac:dyDescent="0.25">
      <c r="A12" s="42" t="s">
        <v>184</v>
      </c>
      <c r="B12" s="42" t="s">
        <v>185</v>
      </c>
      <c r="C12" s="42">
        <v>2.8</v>
      </c>
      <c r="D12" s="46" t="s">
        <v>236</v>
      </c>
    </row>
    <row r="13" spans="1:4" ht="15.75" x14ac:dyDescent="0.25">
      <c r="A13" s="42" t="s">
        <v>172</v>
      </c>
      <c r="B13" s="42" t="s">
        <v>173</v>
      </c>
      <c r="C13" s="42">
        <v>11.9</v>
      </c>
      <c r="D13" s="47" t="s">
        <v>235</v>
      </c>
    </row>
    <row r="14" spans="1:4" ht="15.75" x14ac:dyDescent="0.25">
      <c r="A14" s="1" t="s">
        <v>174</v>
      </c>
      <c r="B14" s="1" t="s">
        <v>175</v>
      </c>
      <c r="C14" s="1">
        <v>9.43</v>
      </c>
      <c r="D14" s="47" t="s">
        <v>235</v>
      </c>
    </row>
    <row r="15" spans="1:4" ht="15.75" x14ac:dyDescent="0.25">
      <c r="A15" s="42" t="s">
        <v>186</v>
      </c>
      <c r="B15" s="42" t="s">
        <v>187</v>
      </c>
      <c r="C15" s="42">
        <v>13.27</v>
      </c>
      <c r="D15" s="46" t="s">
        <v>236</v>
      </c>
    </row>
    <row r="16" spans="1:4" ht="15.75" x14ac:dyDescent="0.25">
      <c r="A16" s="1" t="s">
        <v>190</v>
      </c>
      <c r="B16" s="1" t="s">
        <v>191</v>
      </c>
      <c r="C16" s="1">
        <v>20.21</v>
      </c>
      <c r="D16" s="46" t="s">
        <v>236</v>
      </c>
    </row>
    <row r="17" spans="1:4" ht="15.75" x14ac:dyDescent="0.25">
      <c r="A17" s="42" t="s">
        <v>188</v>
      </c>
      <c r="B17" s="42" t="s">
        <v>189</v>
      </c>
      <c r="C17" s="42">
        <v>3.8</v>
      </c>
      <c r="D17" s="46" t="s">
        <v>236</v>
      </c>
    </row>
    <row r="18" spans="1:4" ht="15.75" x14ac:dyDescent="0.25">
      <c r="A18" s="74" t="s">
        <v>5</v>
      </c>
      <c r="B18" s="74"/>
      <c r="C18" s="41">
        <f>SUM(C2:C17)</f>
        <v>226.47000000000003</v>
      </c>
    </row>
  </sheetData>
  <sortState xmlns:xlrd2="http://schemas.microsoft.com/office/spreadsheetml/2017/richdata2" ref="A2:D17">
    <sortCondition ref="A2:A17"/>
  </sortState>
  <mergeCells count="1">
    <mergeCell ref="A18:B18"/>
  </mergeCells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7</vt:i4>
      </vt:variant>
    </vt:vector>
  </HeadingPairs>
  <TitlesOfParts>
    <vt:vector size="7" baseType="lpstr">
      <vt:lpstr>Seotud katastrid</vt:lpstr>
      <vt:lpstr>Kraavid</vt:lpstr>
      <vt:lpstr>Vallid</vt:lpstr>
      <vt:lpstr>Koondmahud</vt:lpstr>
      <vt:lpstr>Trassiraied</vt:lpstr>
      <vt:lpstr>Paisud</vt:lpstr>
      <vt:lpstr>Maaüksused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2025-04-14T09:48:24Z</dcterms:modified>
  <cp:category/>
  <cp:contentStatus/>
</cp:coreProperties>
</file>